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Arbeit und Erwerb - Strukturerhebung\2023\"/>
    </mc:Choice>
  </mc:AlternateContent>
  <workbookProtection lockStructure="1"/>
  <bookViews>
    <workbookView xWindow="14295" yWindow="0" windowWidth="14610" windowHeight="15585"/>
  </bookViews>
  <sheets>
    <sheet name="Schweiz" sheetId="1" r:id="rId1"/>
    <sheet name="Uebersetzungen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Q14" i="1" l="1"/>
  <c r="O14" i="1"/>
  <c r="G14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A54" i="1"/>
  <c r="I14" i="1"/>
  <c r="E14" i="1"/>
  <c r="C14" i="1"/>
  <c r="B17" i="1" l="1"/>
  <c r="B16" i="1"/>
  <c r="A16" i="1"/>
  <c r="A43" i="1"/>
  <c r="A15" i="1"/>
  <c r="A53" i="1"/>
  <c r="A44" i="1"/>
  <c r="Q13" i="1"/>
  <c r="O13" i="1"/>
  <c r="M13" i="1"/>
  <c r="K13" i="1"/>
  <c r="I13" i="1"/>
  <c r="G13" i="1"/>
  <c r="E13" i="1"/>
  <c r="R14" i="1"/>
  <c r="P14" i="1"/>
  <c r="N14" i="1"/>
  <c r="M14" i="1"/>
  <c r="L14" i="1"/>
  <c r="K14" i="1"/>
  <c r="J14" i="1"/>
  <c r="H14" i="1"/>
  <c r="F14" i="1"/>
  <c r="D14" i="1"/>
  <c r="C13" i="1"/>
  <c r="A10" i="1"/>
  <c r="A9" i="1"/>
  <c r="A7" i="1"/>
  <c r="A45" i="1" l="1"/>
  <c r="A46" i="1"/>
</calcChain>
</file>

<file path=xl/sharedStrings.xml><?xml version="1.0" encoding="utf-8"?>
<sst xmlns="http://schemas.openxmlformats.org/spreadsheetml/2006/main" count="227" uniqueCount="207">
  <si>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</si>
  <si>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</si>
  <si>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</si>
  <si>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</si>
  <si>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</si>
  <si>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</si>
  <si>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</si>
  <si>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</si>
  <si>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</si>
  <si>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</si>
  <si>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</si>
  <si>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</si>
  <si>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</si>
  <si>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Ständige schweizerische Wohnbevölkerung ab 15 Jahren</t>
  </si>
  <si>
    <t>Populaziun residenta permanenta da la Svizra a partir da 15 onns</t>
  </si>
  <si>
    <t>Popolazione residente permanente svizzera di 15 anni e più</t>
  </si>
  <si>
    <t>T1-2</t>
  </si>
  <si>
    <t>&lt;SpaltenTitel_1&gt;</t>
  </si>
  <si>
    <t>Total Bevölkerung (ab 15 Jahren)</t>
  </si>
  <si>
    <t>Total populaziun (a partir da 15 onns)</t>
  </si>
  <si>
    <t>Totale</t>
  </si>
  <si>
    <t>&lt;SpaltenTitel_2&gt;</t>
  </si>
  <si>
    <t>Total Erwerbspersonen (ab 15 Jahren)</t>
  </si>
  <si>
    <t>Total persunas cun activitad da gudogn (a partir da 15 onns)</t>
  </si>
  <si>
    <t>&lt;SpaltenTitel_3&gt;</t>
  </si>
  <si>
    <t>Standardisierte Erwerbsquote (ab 15 Jahren)</t>
  </si>
  <si>
    <t>Quota d'activitad da gudogn standardisada (a partir da 15 onns)</t>
  </si>
  <si>
    <t>&lt;SpaltenTitel_4&gt;</t>
  </si>
  <si>
    <t>Total Bevölkerung (15 bis 64 Jahre)</t>
  </si>
  <si>
    <t>Total populaziun (15 fin 64 onns)</t>
  </si>
  <si>
    <t>&lt;SpaltenTitel_5&gt;</t>
  </si>
  <si>
    <t>Total Erwerbspersonen (15 bis 64 Jahre)</t>
  </si>
  <si>
    <t>Total persunas cun activitad da gudogn (15 fin 64 onns)</t>
  </si>
  <si>
    <t>&lt;SpaltenTitel_6&gt;</t>
  </si>
  <si>
    <t>Total Erwerbslose (15 bis 64 Jahre)</t>
  </si>
  <si>
    <t>Total persunas senza activitad da gudogn (15 fin 64 onns)</t>
  </si>
  <si>
    <t>&lt;SpaltenTitel_7&gt;</t>
  </si>
  <si>
    <t>Nettoerwerbsquote (15 bis 64 Jahre)</t>
  </si>
  <si>
    <t>Quota da gudogn net (15 fin 64 onns)</t>
  </si>
  <si>
    <t>&lt;SpaltenTitel_8&gt;</t>
  </si>
  <si>
    <t>Erwerbslosenquote (15 bis 64 Jahre)</t>
  </si>
  <si>
    <t>quota da persunas dischoccupadas (15 fin 64 onns)</t>
  </si>
  <si>
    <t>&lt;SpaltenTitel_1.1&gt;</t>
  </si>
  <si>
    <t>Anzahl Personen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</si>
  <si>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</si>
  <si>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</si>
  <si>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</si>
  <si>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</si>
  <si>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</si>
  <si>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</si>
  <si>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&lt;SpaltenTitel_1.3&gt;</t>
  </si>
  <si>
    <t>in %</t>
  </si>
  <si>
    <t>en %</t>
  </si>
  <si>
    <t>&lt;Zeilentitel_1&gt;</t>
  </si>
  <si>
    <t>Total</t>
  </si>
  <si>
    <t>&lt;Zeilentitel_2&gt;</t>
  </si>
  <si>
    <t>Kanton</t>
  </si>
  <si>
    <t>Chantun</t>
  </si>
  <si>
    <t>Cantone</t>
  </si>
  <si>
    <t>&lt;Zeilentitel_2.1&gt;</t>
  </si>
  <si>
    <t>Zürich</t>
  </si>
  <si>
    <t>Turitg</t>
  </si>
  <si>
    <t>Zurigo</t>
  </si>
  <si>
    <t>&lt;Zeilentitel_2.2&gt;</t>
  </si>
  <si>
    <t>Bern</t>
  </si>
  <si>
    <t>Berna</t>
  </si>
  <si>
    <t>&lt;Zeilentitel_2.3&gt;</t>
  </si>
  <si>
    <t>Luzern</t>
  </si>
  <si>
    <t>Lucerna</t>
  </si>
  <si>
    <t>&lt;Zeilentitel_2.4&gt;</t>
  </si>
  <si>
    <t>Uri</t>
  </si>
  <si>
    <t>&lt;Zeilentitel_2.5&gt;</t>
  </si>
  <si>
    <t>Schwyz</t>
  </si>
  <si>
    <t>Sviz</t>
  </si>
  <si>
    <t>Svitto</t>
  </si>
  <si>
    <t>&lt;Zeilentitel_2.6&gt;</t>
  </si>
  <si>
    <t>Obwalden</t>
  </si>
  <si>
    <t>Sursilvania</t>
  </si>
  <si>
    <t>Obvaldo</t>
  </si>
  <si>
    <t>&lt;Zeilentitel_2.7&gt;</t>
  </si>
  <si>
    <t>Nidwalden</t>
  </si>
  <si>
    <t>Sutsilvania</t>
  </si>
  <si>
    <t>Nidvaldo</t>
  </si>
  <si>
    <t>&lt;Zeilentitel_2.8&gt;</t>
  </si>
  <si>
    <t>Glarus</t>
  </si>
  <si>
    <t>Glaruna</t>
  </si>
  <si>
    <t>Glarona</t>
  </si>
  <si>
    <t>&lt;Zeilentitel_2.9&gt;</t>
  </si>
  <si>
    <t>Zug</t>
  </si>
  <si>
    <t>Zugo</t>
  </si>
  <si>
    <t>&lt;Zeilentitel_2.10&gt;</t>
  </si>
  <si>
    <t>Freiburg</t>
  </si>
  <si>
    <t>Friburg</t>
  </si>
  <si>
    <t>Friborgo</t>
  </si>
  <si>
    <t>&lt;Zeilentitel_2.11&gt;</t>
  </si>
  <si>
    <t>Solothurn</t>
  </si>
  <si>
    <t>Soloturn</t>
  </si>
  <si>
    <t>Soletta</t>
  </si>
  <si>
    <t>&lt;Zeilentitel_2.12&gt;</t>
  </si>
  <si>
    <t>Basel-Stadt</t>
  </si>
  <si>
    <t>Basilea-Citad</t>
  </si>
  <si>
    <t>Basilea Città</t>
  </si>
  <si>
    <t>&lt;Zeilentitel_2.13&gt;</t>
  </si>
  <si>
    <t>Basel-Landschaft</t>
  </si>
  <si>
    <t>Basilea-Champagna</t>
  </si>
  <si>
    <t>Basilea Campagna</t>
  </si>
  <si>
    <t>&lt;Zeilentitel_2.14&gt;</t>
  </si>
  <si>
    <t>Schaffhausen</t>
  </si>
  <si>
    <t>Schaffusa</t>
  </si>
  <si>
    <t>Sciaffusa</t>
  </si>
  <si>
    <t>&lt;Zeilentitel_2.15&gt;</t>
  </si>
  <si>
    <t>Appenzell Ausserrhoden</t>
  </si>
  <si>
    <t>Appenzell Dadora</t>
  </si>
  <si>
    <t>Appenzello Esterno</t>
  </si>
  <si>
    <t>&lt;Zeilentitel_2.16&gt;</t>
  </si>
  <si>
    <t>Appenzell Innerrhoden</t>
  </si>
  <si>
    <t>Appenzell Dadens</t>
  </si>
  <si>
    <t>Appenzello Interno</t>
  </si>
  <si>
    <t>&lt;Zeilentitel_2.17&gt;</t>
  </si>
  <si>
    <t>St. Gallen</t>
  </si>
  <si>
    <t>Son Gagl</t>
  </si>
  <si>
    <t>San Gallo</t>
  </si>
  <si>
    <t>&lt;Zeilentitel_2.18&gt;</t>
  </si>
  <si>
    <t>Graubünden</t>
  </si>
  <si>
    <t>Grischun</t>
  </si>
  <si>
    <t>Grigioni</t>
  </si>
  <si>
    <t>&lt;Zeilentitel_2.19&gt;</t>
  </si>
  <si>
    <t>Aargau</t>
  </si>
  <si>
    <t>Argovia</t>
  </si>
  <si>
    <t>&lt;Zeilentitel_2.20&gt;</t>
  </si>
  <si>
    <t>Thurgau</t>
  </si>
  <si>
    <t>Turgovia</t>
  </si>
  <si>
    <t>&lt;Zeilentitel_2.21&gt;</t>
  </si>
  <si>
    <t>Ticino</t>
  </si>
  <si>
    <t>Tessin</t>
  </si>
  <si>
    <t>&lt;Zeilentitel_2.22&gt;</t>
  </si>
  <si>
    <t>Vaud</t>
  </si>
  <si>
    <t>Vad</t>
  </si>
  <si>
    <t>&lt;Zeilentitel_2.23&gt;</t>
  </si>
  <si>
    <t>Wallis</t>
  </si>
  <si>
    <t>Vallais</t>
  </si>
  <si>
    <t>Vallese</t>
  </si>
  <si>
    <t>&lt;Zeilentitel_2.24&gt;</t>
  </si>
  <si>
    <t>Neuchâtel</t>
  </si>
  <si>
    <t>&lt;Zeilentitel_2.25&gt;</t>
  </si>
  <si>
    <t>Genève</t>
  </si>
  <si>
    <t>Genevra</t>
  </si>
  <si>
    <t>Ginevra</t>
  </si>
  <si>
    <t>&lt;Zeilentitel_2.26&gt;</t>
  </si>
  <si>
    <t>Jura</t>
  </si>
  <si>
    <t>Giura</t>
  </si>
  <si>
    <t>&lt;Legende_1&gt;</t>
  </si>
  <si>
    <t>Definitionen:</t>
  </si>
  <si>
    <t>Definiziuns:</t>
  </si>
  <si>
    <t>&lt;Legende_2&gt;</t>
  </si>
  <si>
    <t>Erwerbsquote = Erwerbspersonen / Referenzbevölkerung x 100</t>
  </si>
  <si>
    <t>Quota d'activitad da gudogn = persunas cun activitad da gudogn / populaziun da referenza x 100</t>
  </si>
  <si>
    <t>&lt;Legende_3&gt;</t>
  </si>
  <si>
    <t>Standardisierte Erwerbsquote (gemessen an der Bevölkerung ab 15 Jahren)</t>
  </si>
  <si>
    <t>Quota d'activitad da gudogn standardisada (mesirada a la populaziun a partir da 15 onns)</t>
  </si>
  <si>
    <t>&lt;Legende_4&gt;</t>
  </si>
  <si>
    <t>Nettoerwerbsquote (gemessen an der Bevölkerung zwischen 15 und 64 Jahren)</t>
  </si>
  <si>
    <t>Quota da gudogn net (mesirada a la populaziun tranter 15 e 64 onns)</t>
  </si>
  <si>
    <t>&lt;Legende_5&gt;</t>
  </si>
  <si>
    <t>Erwerbslosenquote = Erwerbslose / Erwerbspersonen x 100</t>
  </si>
  <si>
    <t>&lt;Legende_6&gt;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</si>
  <si>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</si>
  <si>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</si>
  <si>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</si>
  <si>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&lt;Legende_7&gt;</t>
  </si>
  <si>
    <t>X: Extrapolation aufgrund von 4 oder weniger Beobachtungen. Die Resultate werden aus Gründen des Datenschutzes nicht publiziert.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</si>
  <si>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</si>
  <si>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</si>
  <si>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&lt;Legende_8&gt;</t>
  </si>
  <si>
    <t>Die Grundgesamtheit der Strukturerhebung enthält alle Personen der ständigen Wohnbevölkerung ab vollendetem 15. Altersjahr, die in Privathaushalten leben.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</si>
  <si>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</si>
  <si>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</si>
  <si>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&lt;Legende_9&gt;</t>
  </si>
  <si>
    <t>Aus der Grundgesamtheit ausgeschlossen wurden neben den Personen, die in Kollektivhaushalten leben, auch Diplomaten, internationale Funktionäre und deren Angehörige.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</si>
  <si>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</si>
  <si>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</si>
  <si>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</si>
  <si>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Quelle: BFS (Strukturerhebung)</t>
  </si>
  <si>
    <t>Funtauna: UST (enquista da structura)</t>
  </si>
  <si>
    <t>Fonte: UST (Rilevazione strutturale)</t>
  </si>
  <si>
    <t>&lt;Aktualisierung&gt;</t>
  </si>
  <si>
    <t>Erwerbs- und Erwerbslosenquote nach Kanton</t>
  </si>
  <si>
    <t>Quota da gudogn e da persunas senza gudogn tenor il chantun</t>
  </si>
  <si>
    <t>Tasso di attività e tasso di disoccupazione secondo il Cantone</t>
  </si>
  <si>
    <t>Popolazione totale
(15 anni e più)</t>
  </si>
  <si>
    <t>Persone attive
(15 anni e più)</t>
  </si>
  <si>
    <t>Tasso di attività standardizzato
(15 anni e più)</t>
  </si>
  <si>
    <t>Popolazione totale 
(15 ai 64 anni)</t>
  </si>
  <si>
    <t>Persone attive 
(15 ai 64 anni)</t>
  </si>
  <si>
    <t>Disoccupati
(15 ai 64 anni)</t>
  </si>
  <si>
    <t>Tasso di attività netto 
(15 ai 64 anni)</t>
  </si>
  <si>
    <t>Tasso di disoccupazione
(15 ai 64 anni)</t>
  </si>
  <si>
    <t>Definizioni:</t>
  </si>
  <si>
    <t>Tasso di attività = persone attive / popolazione di riferimento x 100</t>
  </si>
  <si>
    <t>Il tasso di attività standardizzato è calcolato sulla popolazione di 15 anni e più.</t>
  </si>
  <si>
    <t>Il tasso di attività netto è calcolato per la popolazione dai 15 ai 64 anni.</t>
  </si>
  <si>
    <t>Tasso di disoccupazione = Disoccupati / persone attive x100</t>
  </si>
  <si>
    <t>Quota da persunas senza gudogn = persunas dischoccupadas / persunas cun activitad da gudogn x 100</t>
  </si>
  <si>
    <t>Letztmals aktualisiert am: 27.01.2024</t>
  </si>
  <si>
    <t>Ultima actualisaziun: 27.01.2024</t>
  </si>
  <si>
    <t>Ulimo aggiornamento: 27.01.2024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</si>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</sst>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\(0.0\)"/>
    <numFmt numFmtId="169" formatCode="_-* #,##0.00\ _€_-;\-* #,##0.00\ _€_-;_-* &quot;-&quot;??\ _€_-;_-@_-"/>
    <numFmt numFmtId="170" formatCode="* #,###"/>
    <numFmt numFmtId="171" formatCode="\(0\)"/>
    <numFmt numFmtId="172" formatCode="\(#,##0\)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3" applyFont="1" applyFill="1" applyAlignment="1">
      <alignment horizontal="left" vertical="top"/>
    </xf>
    <xf numFmtId="164" fontId="8" fillId="2" borderId="0" xfId="4" applyNumberFormat="1" applyFont="1" applyFill="1" applyBorder="1" applyAlignment="1" applyProtection="1">
      <alignment horizontal="left" vertical="top"/>
    </xf>
    <xf numFmtId="0" fontId="9" fillId="2" borderId="0" xfId="3" applyFont="1" applyFill="1" applyAlignment="1">
      <alignment horizontal="right" vertical="center"/>
    </xf>
    <xf numFmtId="0" fontId="3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3" fontId="4" fillId="2" borderId="0" xfId="1" applyNumberFormat="1" applyFont="1" applyFill="1" applyBorder="1" applyAlignment="1" applyProtection="1">
      <alignment horizontal="right" wrapText="1"/>
    </xf>
    <xf numFmtId="165" fontId="4" fillId="2" borderId="0" xfId="2" applyNumberFormat="1" applyFont="1" applyFill="1" applyBorder="1" applyAlignment="1" applyProtection="1">
      <alignment horizontal="right" wrapText="1"/>
    </xf>
    <xf numFmtId="166" fontId="4" fillId="2" borderId="0" xfId="1" applyNumberFormat="1" applyFont="1" applyFill="1" applyBorder="1" applyAlignment="1" applyProtection="1">
      <alignment horizontal="right"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1" fillId="4" borderId="0" xfId="0" applyFont="1" applyFill="1" applyAlignment="1">
      <alignment horizontal="left" vertical="top"/>
    </xf>
    <xf numFmtId="0" fontId="10" fillId="2" borderId="4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vertical="top" wrapText="1"/>
    </xf>
    <xf numFmtId="3" fontId="4" fillId="2" borderId="6" xfId="6" applyNumberFormat="1" applyFont="1" applyFill="1" applyBorder="1" applyAlignment="1" applyProtection="1">
      <alignment horizontal="left" vertical="center" wrapText="1"/>
    </xf>
    <xf numFmtId="3" fontId="4" fillId="3" borderId="6" xfId="6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/>
    <xf numFmtId="3" fontId="4" fillId="2" borderId="9" xfId="6" applyNumberFormat="1" applyFont="1" applyFill="1" applyBorder="1" applyAlignment="1" applyProtection="1">
      <alignment horizontal="left" vertical="center" wrapText="1"/>
    </xf>
    <xf numFmtId="0" fontId="4" fillId="0" borderId="0" xfId="3" applyFont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 applyProtection="1">
      <alignment horizontal="left" vertical="top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indent="1"/>
    </xf>
    <xf numFmtId="0" fontId="4" fillId="7" borderId="0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>
      <alignment vertical="top" wrapText="1"/>
    </xf>
    <xf numFmtId="0" fontId="11" fillId="2" borderId="17" xfId="2" applyNumberFormat="1" applyFont="1" applyFill="1" applyBorder="1" applyAlignment="1" applyProtection="1">
      <alignment horizontal="right" vertical="top" wrapText="1"/>
    </xf>
    <xf numFmtId="0" fontId="11" fillId="2" borderId="22" xfId="1" applyNumberFormat="1" applyFont="1" applyFill="1" applyBorder="1" applyAlignment="1" applyProtection="1">
      <alignment horizontal="right" vertical="top" wrapText="1"/>
    </xf>
    <xf numFmtId="0" fontId="11" fillId="2" borderId="6" xfId="1" applyNumberFormat="1" applyFont="1" applyFill="1" applyBorder="1" applyAlignment="1" applyProtection="1">
      <alignment horizontal="right" vertical="top" wrapText="1"/>
    </xf>
    <xf numFmtId="0" fontId="11" fillId="2" borderId="23" xfId="2" applyNumberFormat="1" applyFont="1" applyFill="1" applyBorder="1" applyAlignment="1" applyProtection="1">
      <alignment horizontal="right" vertical="top" wrapText="1"/>
    </xf>
    <xf numFmtId="0" fontId="11" fillId="2" borderId="24" xfId="1" applyNumberFormat="1" applyFont="1" applyFill="1" applyBorder="1" applyAlignment="1" applyProtection="1">
      <alignment horizontal="right" vertical="top" wrapText="1"/>
    </xf>
    <xf numFmtId="0" fontId="11" fillId="2" borderId="25" xfId="2" applyNumberFormat="1" applyFont="1" applyFill="1" applyBorder="1" applyAlignment="1" applyProtection="1">
      <alignment horizontal="right" vertical="top" wrapText="1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0" fillId="3" borderId="14" xfId="0" applyFont="1" applyFill="1" applyBorder="1" applyAlignment="1">
      <alignment horizontal="center" vertical="center" wrapText="1"/>
    </xf>
    <xf numFmtId="170" fontId="12" fillId="2" borderId="19" xfId="6" applyNumberFormat="1" applyFont="1" applyFill="1" applyBorder="1" applyAlignment="1" applyProtection="1">
      <alignment horizontal="right" vertical="center" wrapText="1"/>
    </xf>
    <xf numFmtId="167" fontId="12" fillId="2" borderId="7" xfId="6" applyNumberFormat="1" applyFont="1" applyFill="1" applyBorder="1" applyAlignment="1" applyProtection="1">
      <alignment horizontal="right" vertical="center" wrapText="1"/>
    </xf>
    <xf numFmtId="167" fontId="12" fillId="2" borderId="19" xfId="6" applyNumberFormat="1" applyFont="1" applyFill="1" applyBorder="1" applyAlignment="1" applyProtection="1">
      <alignment horizontal="right" vertical="center" wrapText="1"/>
    </xf>
    <xf numFmtId="3" fontId="4" fillId="2" borderId="20" xfId="6" applyNumberFormat="1" applyFont="1" applyFill="1" applyBorder="1" applyAlignment="1" applyProtection="1">
      <alignment horizontal="right" vertical="center" wrapText="1"/>
    </xf>
    <xf numFmtId="167" fontId="4" fillId="2" borderId="17" xfId="6" applyNumberFormat="1" applyFont="1" applyFill="1" applyBorder="1" applyAlignment="1" applyProtection="1">
      <alignment horizontal="right" vertical="center" wrapText="1"/>
    </xf>
    <xf numFmtId="3" fontId="4" fillId="2" borderId="5" xfId="6" applyNumberFormat="1" applyFont="1" applyFill="1" applyBorder="1" applyAlignment="1" applyProtection="1">
      <alignment horizontal="right" vertical="center" wrapText="1"/>
    </xf>
    <xf numFmtId="167" fontId="4" fillId="2" borderId="5" xfId="6" applyNumberFormat="1" applyFont="1" applyFill="1" applyBorder="1" applyAlignment="1" applyProtection="1">
      <alignment horizontal="right" vertical="center" wrapText="1"/>
    </xf>
    <xf numFmtId="167" fontId="4" fillId="2" borderId="2" xfId="6" applyNumberFormat="1" applyFont="1" applyFill="1" applyBorder="1" applyAlignment="1" applyProtection="1">
      <alignment horizontal="right" vertical="center" wrapText="1"/>
    </xf>
    <xf numFmtId="171" fontId="4" fillId="2" borderId="5" xfId="6" applyNumberFormat="1" applyFont="1" applyFill="1" applyBorder="1" applyAlignment="1" applyProtection="1">
      <alignment horizontal="right" vertical="center" wrapText="1"/>
    </xf>
    <xf numFmtId="168" fontId="4" fillId="2" borderId="17" xfId="6" applyNumberFormat="1" applyFont="1" applyFill="1" applyBorder="1" applyAlignment="1" applyProtection="1">
      <alignment horizontal="right" vertical="center" wrapText="1"/>
    </xf>
    <xf numFmtId="168" fontId="4" fillId="2" borderId="5" xfId="6" applyNumberFormat="1" applyFont="1" applyFill="1" applyBorder="1" applyAlignment="1" applyProtection="1">
      <alignment horizontal="right" vertical="center" wrapText="1"/>
    </xf>
    <xf numFmtId="168" fontId="4" fillId="2" borderId="2" xfId="6" applyNumberFormat="1" applyFont="1" applyFill="1" applyBorder="1" applyAlignment="1" applyProtection="1">
      <alignment horizontal="right" vertical="center" wrapText="1"/>
    </xf>
    <xf numFmtId="172" fontId="4" fillId="2" borderId="5" xfId="6" applyNumberFormat="1" applyFont="1" applyFill="1" applyBorder="1" applyAlignment="1" applyProtection="1">
      <alignment horizontal="right" vertical="center" wrapText="1"/>
    </xf>
    <xf numFmtId="3" fontId="4" fillId="3" borderId="20" xfId="6" applyNumberFormat="1" applyFont="1" applyFill="1" applyBorder="1" applyAlignment="1" applyProtection="1">
      <alignment horizontal="right" vertical="center" wrapText="1"/>
    </xf>
    <xf numFmtId="167" fontId="4" fillId="3" borderId="17" xfId="6" applyNumberFormat="1" applyFont="1" applyFill="1" applyBorder="1" applyAlignment="1" applyProtection="1">
      <alignment horizontal="right" vertical="center" wrapText="1"/>
    </xf>
    <xf numFmtId="3" fontId="4" fillId="3" borderId="5" xfId="6" applyNumberFormat="1" applyFont="1" applyFill="1" applyBorder="1" applyAlignment="1" applyProtection="1">
      <alignment horizontal="right" vertical="center" wrapText="1"/>
    </xf>
    <xf numFmtId="167" fontId="4" fillId="3" borderId="5" xfId="6" applyNumberFormat="1" applyFont="1" applyFill="1" applyBorder="1" applyAlignment="1" applyProtection="1">
      <alignment horizontal="right" vertical="center" wrapText="1"/>
    </xf>
    <xf numFmtId="167" fontId="4" fillId="3" borderId="2" xfId="6" applyNumberFormat="1" applyFont="1" applyFill="1" applyBorder="1" applyAlignment="1" applyProtection="1">
      <alignment horizontal="right" vertical="center" wrapText="1"/>
    </xf>
    <xf numFmtId="3" fontId="4" fillId="2" borderId="21" xfId="6" applyNumberFormat="1" applyFont="1" applyFill="1" applyBorder="1" applyAlignment="1" applyProtection="1">
      <alignment horizontal="right" vertical="center" wrapText="1"/>
    </xf>
    <xf numFmtId="167" fontId="4" fillId="2" borderId="18" xfId="6" applyNumberFormat="1" applyFont="1" applyFill="1" applyBorder="1" applyAlignment="1" applyProtection="1">
      <alignment horizontal="right" vertical="center" wrapText="1"/>
    </xf>
    <xf numFmtId="3" fontId="4" fillId="2" borderId="8" xfId="6" applyNumberFormat="1" applyFont="1" applyFill="1" applyBorder="1" applyAlignment="1" applyProtection="1">
      <alignment horizontal="right" vertical="center" wrapText="1"/>
    </xf>
    <xf numFmtId="167" fontId="4" fillId="2" borderId="8" xfId="6" applyNumberFormat="1" applyFont="1" applyFill="1" applyBorder="1" applyAlignment="1" applyProtection="1">
      <alignment horizontal="right" vertical="center" wrapText="1"/>
    </xf>
    <xf numFmtId="167" fontId="4" fillId="2" borderId="3" xfId="6" applyNumberFormat="1" applyFont="1" applyFill="1" applyBorder="1" applyAlignment="1" applyProtection="1">
      <alignment horizontal="right" vertical="center" wrapText="1"/>
    </xf>
    <xf numFmtId="170" fontId="12" fillId="2" borderId="26" xfId="6" applyNumberFormat="1" applyFont="1" applyFill="1" applyBorder="1" applyAlignment="1" applyProtection="1">
      <alignment horizontal="right" vertical="center" wrapText="1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</cellXfs>
  <cellStyles count="16">
    <cellStyle name="Komma" xfId="1" builtinId="3"/>
    <cellStyle name="Komma 2" xfId="4"/>
    <cellStyle name="Komma 2 2" xfId="15"/>
    <cellStyle name="Komma 3" xfId="6"/>
    <cellStyle name="Komma 4" xfId="14"/>
    <cellStyle name="Normale 2" xfId="13"/>
    <cellStyle name="Prozent" xfId="2" builtinId="5"/>
    <cellStyle name="Prozent 2" xfId="5"/>
    <cellStyle name="Standard" xfId="0" builtinId="0"/>
    <cellStyle name="Standard 2" xfId="3"/>
    <cellStyle name="Standard 2 2" xfId="10"/>
    <cellStyle name="Standard 2 3" xfId="7"/>
    <cellStyle name="Standard 3" xfId="8"/>
    <cellStyle name="Standard 4" xfId="9"/>
    <cellStyle name="Standard 4 2" xfId="11"/>
    <cellStyle name="Standard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0</xdr:row>
      <xdr:rowOff>19050</xdr:rowOff>
    </xdr:from>
    <xdr:to>
      <xdr:col>6</xdr:col>
      <xdr:colOff>219689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00650" y="19050"/>
          <a:ext cx="2639039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549275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"/>
  <sheetViews>
    <sheetView tabSelected="1" workbookViewId="0"/>
  </sheetViews>
  <sheetFormatPr baseColWidth="10" defaultColWidth="11.42578125" defaultRowHeight="12.75" x14ac:dyDescent="0.2"/>
  <cols>
    <col min="1" max="1" width="19.85546875" style="1" customWidth="1"/>
    <col min="2" max="2" width="46.42578125" style="1" customWidth="1"/>
    <col min="3" max="18" width="12" style="1" customWidth="1"/>
    <col min="19" max="16384" width="11.42578125" style="1"/>
  </cols>
  <sheetData>
    <row r="1" spans="1:18" s="2" customFormat="1" x14ac:dyDescent="0.2"/>
    <row r="2" spans="1:18" s="2" customFormat="1" ht="15.75" x14ac:dyDescent="0.25">
      <c r="B2" s="3"/>
      <c r="C2" s="1"/>
      <c r="D2" s="1"/>
    </row>
    <row r="3" spans="1:18" s="2" customFormat="1" ht="15.75" x14ac:dyDescent="0.25">
      <c r="B3" s="3"/>
      <c r="C3" s="1"/>
      <c r="D3" s="1"/>
    </row>
    <row r="4" spans="1:18" s="2" customFormat="1" ht="15.75" x14ac:dyDescent="0.25">
      <c r="B4" s="3"/>
      <c r="C4" s="1"/>
      <c r="D4" s="1"/>
    </row>
    <row r="5" spans="1:18" s="2" customFormat="1" x14ac:dyDescent="0.2"/>
    <row r="6" spans="1:18" s="2" customFormat="1" x14ac:dyDescent="0.2"/>
    <row r="7" spans="1:18" s="2" customFormat="1" ht="15.75" customHeight="1" x14ac:dyDescent="0.2">
      <c r="A7" s="54" t="str">
        <f>VLOOKUP("&lt;Fachbereich&gt;",Uebersetzungen!$B$3:$E$202,Uebersetzungen!$B$2+1,FALSE)</f>
        <v>Daten &amp; Statistik</v>
      </c>
      <c r="B7" s="54"/>
      <c r="C7" s="4"/>
      <c r="D7" s="4"/>
      <c r="E7" s="4"/>
      <c r="F7" s="4"/>
      <c r="G7" s="4"/>
      <c r="H7" s="4"/>
    </row>
    <row r="8" spans="1:18" s="2" customFormat="1" x14ac:dyDescent="0.2"/>
    <row r="9" spans="1:18" s="8" customFormat="1" ht="18" x14ac:dyDescent="0.2">
      <c r="A9" s="17" t="str">
        <f>VLOOKUP("&lt;Titel&gt;",Uebersetzungen!$B$3:$E$202,Uebersetzungen!$B$2+1,FALSE)</f>
        <v>Erwerbs- und Erwerbslosenquote nach Kanton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s="8" customFormat="1" ht="15" x14ac:dyDescent="0.2">
      <c r="A10" s="18" t="str">
        <f>VLOOKUP("&lt;UTitel&gt;",Uebersetzungen!$B$3:$E$202,Uebersetzungen!$B$2+1,FALSE)</f>
        <v>Ständige schweizerische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18" s="8" customFormat="1" ht="15.75" thickBot="1" x14ac:dyDescent="0.25">
      <c r="A11" s="18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18" ht="18.75" thickBot="1" x14ac:dyDescent="0.3">
      <c r="B12" s="22"/>
      <c r="C12" s="47">
        <v>2023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</row>
    <row r="13" spans="1:18" ht="39" customHeight="1" thickBot="1" x14ac:dyDescent="0.25">
      <c r="A13" s="10"/>
      <c r="B13" s="40"/>
      <c r="C13" s="55" t="str">
        <f>VLOOKUP("&lt;SpaltenTitel_1&gt;",Uebersetzungen!$B$3:$E$202,Uebersetzungen!$B$2+1,FALSE)</f>
        <v>Total Bevölkerung (ab 15 Jahren)</v>
      </c>
      <c r="D13" s="52"/>
      <c r="E13" s="52" t="str">
        <f>VLOOKUP("&lt;SpaltenTitel_2&gt;",Uebersetzungen!$B$3:$E$202,Uebersetzungen!$B$2+1,FALSE)</f>
        <v>Total Erwerbspersonen (ab 15 Jahren)</v>
      </c>
      <c r="F13" s="52"/>
      <c r="G13" s="52" t="str">
        <f>VLOOKUP("&lt;SpaltenTitel_3&gt;",Uebersetzungen!$B$3:$E$202,Uebersetzungen!$B$2+1,FALSE)</f>
        <v>Standardisierte Erwerbsquote (ab 15 Jahren)</v>
      </c>
      <c r="H13" s="52"/>
      <c r="I13" s="52" t="str">
        <f>VLOOKUP("&lt;SpaltenTitel_4&gt;",Uebersetzungen!$B$3:$E$202,Uebersetzungen!$B$2+1,FALSE)</f>
        <v>Total Bevölkerung (15 bis 64 Jahre)</v>
      </c>
      <c r="J13" s="52"/>
      <c r="K13" s="52" t="str">
        <f>VLOOKUP("&lt;SpaltenTitel_5&gt;",Uebersetzungen!$B$3:$E$202,Uebersetzungen!$B$2+1,FALSE)</f>
        <v>Total Erwerbspersonen (15 bis 64 Jahre)</v>
      </c>
      <c r="L13" s="52"/>
      <c r="M13" s="52" t="str">
        <f>VLOOKUP("&lt;SpaltenTitel_6&gt;",Uebersetzungen!$B$3:$E$202,Uebersetzungen!$B$2+1,FALSE)</f>
        <v>Total Erwerbslose (15 bis 64 Jahre)</v>
      </c>
      <c r="N13" s="52"/>
      <c r="O13" s="52" t="str">
        <f>VLOOKUP("&lt;SpaltenTitel_7&gt;",Uebersetzungen!$B$3:$E$202,Uebersetzungen!$B$2+1,FALSE)</f>
        <v>Nettoerwerbsquote (15 bis 64 Jahre)</v>
      </c>
      <c r="P13" s="52"/>
      <c r="Q13" s="52" t="str">
        <f>VLOOKUP("&lt;SpaltenTitel_8&gt;",Uebersetzungen!$B$3:$E$202,Uebersetzungen!$B$2+1,FALSE)</f>
        <v>Erwerbslosenquote (15 bis 64 Jahre)</v>
      </c>
      <c r="R13" s="53"/>
    </row>
    <row r="14" spans="1:18" ht="39.75" customHeight="1" thickBot="1" x14ac:dyDescent="0.25">
      <c r="A14" s="19"/>
      <c r="B14" s="19"/>
      <c r="C14" s="42" t="str">
        <f>VLOOKUP("&lt;SpaltenTitel_1.1&gt;",Uebersetzungen!$B$3:$E$202,Uebersetzungen!$B$2+1,FALSE)</f>
        <v>Anzahl Personen</v>
      </c>
      <c r="D14" s="41" t="str">
        <f>VLOOKUP("&lt;SpaltenTitel_1.2&gt;",Uebersetzungen!$B$3:$E$202,Uebersetzungen!$B$2+1,FALSE)</f>
        <v>Vertrauens- intervall:          ± (in %)</v>
      </c>
      <c r="E14" s="43" t="str">
        <f>VLOOKUP("&lt;SpaltenTitel_1.1&gt;",Uebersetzungen!$B$3:$E$202,Uebersetzungen!$B$2+1,FALSE)</f>
        <v>Anzahl Personen</v>
      </c>
      <c r="F14" s="44" t="str">
        <f>VLOOKUP("&lt;SpaltenTitel_1.2&gt;",Uebersetzungen!$B$3:$E$202,Uebersetzungen!$B$2+1,FALSE)</f>
        <v>Vertrauens- intervall:          ± (in %)</v>
      </c>
      <c r="G14" s="45" t="str">
        <f>VLOOKUP("&lt;SpaltenTitel_1.3&gt;",Uebersetzungen!$B$3:$E$202,Uebersetzungen!$B$2+1,FALSE)</f>
        <v>in %</v>
      </c>
      <c r="H14" s="41" t="str">
        <f>VLOOKUP("&lt;SpaltenTitel_1.2&gt;",Uebersetzungen!$B$3:$E$202,Uebersetzungen!$B$2+1,FALSE)</f>
        <v>Vertrauens- intervall:          ± (in %)</v>
      </c>
      <c r="I14" s="43" t="str">
        <f>VLOOKUP("&lt;SpaltenTitel_1.1&gt;",Uebersetzungen!$B$3:$E$202,Uebersetzungen!$B$2+1,FALSE)</f>
        <v>Anzahl Personen</v>
      </c>
      <c r="J14" s="44" t="str">
        <f>VLOOKUP("&lt;SpaltenTitel_1.2&gt;",Uebersetzungen!$B$3:$E$202,Uebersetzungen!$B$2+1,FALSE)</f>
        <v>Vertrauens- intervall:          ± (in %)</v>
      </c>
      <c r="K14" s="43" t="str">
        <f>VLOOKUP("&lt;SpaltenTitel_1.1&gt;",Uebersetzungen!$B$3:$E$202,Uebersetzungen!$B$2+1,FALSE)</f>
        <v>Anzahl Personen</v>
      </c>
      <c r="L14" s="44" t="str">
        <f>VLOOKUP("&lt;SpaltenTitel_1.2&gt;",Uebersetzungen!$B$3:$E$202,Uebersetzungen!$B$2+1,FALSE)</f>
        <v>Vertrauens- intervall:          ± (in %)</v>
      </c>
      <c r="M14" s="43" t="str">
        <f>VLOOKUP("&lt;SpaltenTitel_1.1&gt;",Uebersetzungen!$B$3:$E$202,Uebersetzungen!$B$2+1,FALSE)</f>
        <v>Anzahl Personen</v>
      </c>
      <c r="N14" s="44" t="str">
        <f>VLOOKUP("&lt;SpaltenTitel_1.2&gt;",Uebersetzungen!$B$3:$E$202,Uebersetzungen!$B$2+1,FALSE)</f>
        <v>Vertrauens- intervall:          ± (in %)</v>
      </c>
      <c r="O14" s="43" t="str">
        <f>VLOOKUP("&lt;SpaltenTitel_1.3&gt;",Uebersetzungen!$B$3:$E$202,Uebersetzungen!$B$2+1,FALSE)</f>
        <v>in %</v>
      </c>
      <c r="P14" s="44" t="str">
        <f>VLOOKUP("&lt;SpaltenTitel_1.2&gt;",Uebersetzungen!$B$3:$E$202,Uebersetzungen!$B$2+1,FALSE)</f>
        <v>Vertrauens- intervall:          ± (in %)</v>
      </c>
      <c r="Q14" s="43" t="str">
        <f>VLOOKUP("&lt;SpaltenTitel_1.3&gt;",Uebersetzungen!$B$3:$E$202,Uebersetzungen!$B$2+1,FALSE)</f>
        <v>in %</v>
      </c>
      <c r="R14" s="46" t="str">
        <f>VLOOKUP("&lt;SpaltenTitel_1.2&gt;",Uebersetzungen!$B$3:$E$202,Uebersetzungen!$B$2+1,FALSE)</f>
        <v>Vertrauens- intervall:          ± (in %)</v>
      </c>
    </row>
    <row r="15" spans="1:18" ht="12" customHeight="1" thickBot="1" x14ac:dyDescent="0.25">
      <c r="A15" s="80" t="str">
        <f>VLOOKUP("&lt;Zeilentitel_1&gt;",Uebersetzungen!$B$3:$E$201,Uebersetzungen!$B$2+1,FALSE)</f>
        <v>Total</v>
      </c>
      <c r="B15" s="81"/>
      <c r="C15" s="79">
        <v>7424121.9999999851</v>
      </c>
      <c r="D15" s="57">
        <v>5.462415797536465E-2</v>
      </c>
      <c r="E15" s="56">
        <v>4769784.3848598516</v>
      </c>
      <c r="F15" s="57">
        <v>0.29743764334010214</v>
      </c>
      <c r="G15" s="58">
        <v>64.24711750237752</v>
      </c>
      <c r="H15" s="57">
        <v>0.18424280719138153</v>
      </c>
      <c r="I15" s="56">
        <v>5781276.0000000075</v>
      </c>
      <c r="J15" s="57">
        <v>0.22580763282329813</v>
      </c>
      <c r="K15" s="56">
        <v>4641013.6076394413</v>
      </c>
      <c r="L15" s="57">
        <v>0.30973720320514958</v>
      </c>
      <c r="M15" s="56">
        <v>216192.70192242027</v>
      </c>
      <c r="N15" s="57">
        <v>2.3059131341313517</v>
      </c>
      <c r="O15" s="58">
        <v>80.276631104265462</v>
      </c>
      <c r="P15" s="57">
        <v>0.17851867058968196</v>
      </c>
      <c r="Q15" s="58">
        <v>4.6583078654747192</v>
      </c>
      <c r="R15" s="57">
        <v>0.10603326128392343</v>
      </c>
    </row>
    <row r="16" spans="1:18" x14ac:dyDescent="0.2">
      <c r="A16" s="50" t="str">
        <f>VLOOKUP("&lt;Zeilentitel_2&gt;",Uebersetzungen!$B$3:$E$201,Uebersetzungen!$B$2+1,FALSE)</f>
        <v>Kanton</v>
      </c>
      <c r="B16" s="20" t="str">
        <f>VLOOKUP("&lt;Zeilentitel_2.1&gt;",Uebersetzungen!$B$3:$E$201,Uebersetzungen!$B$2+1,FALSE)</f>
        <v>Zürich</v>
      </c>
      <c r="C16" s="59">
        <v>1333436.0000000086</v>
      </c>
      <c r="D16" s="60">
        <v>0.14275710992640323</v>
      </c>
      <c r="E16" s="61">
        <v>908273.81399325235</v>
      </c>
      <c r="F16" s="60">
        <v>0.71261358232162331</v>
      </c>
      <c r="G16" s="62">
        <v>68.115291172073228</v>
      </c>
      <c r="H16" s="60">
        <v>0.4694852134469869</v>
      </c>
      <c r="I16" s="61">
        <v>1069471.0000000079</v>
      </c>
      <c r="J16" s="60">
        <v>0.54985002299353791</v>
      </c>
      <c r="K16" s="61">
        <v>883692.69975344965</v>
      </c>
      <c r="L16" s="60">
        <v>0.7451468756525037</v>
      </c>
      <c r="M16" s="61">
        <v>36874.425045787008</v>
      </c>
      <c r="N16" s="60">
        <v>6.3297120596254484</v>
      </c>
      <c r="O16" s="62">
        <v>82.628953917725966</v>
      </c>
      <c r="P16" s="60">
        <v>0.44435502640099855</v>
      </c>
      <c r="Q16" s="62">
        <v>4.172765606876121</v>
      </c>
      <c r="R16" s="63">
        <v>0.26136197663390437</v>
      </c>
    </row>
    <row r="17" spans="1:18" x14ac:dyDescent="0.2">
      <c r="A17" s="50"/>
      <c r="B17" s="20" t="str">
        <f>VLOOKUP("&lt;Zeilentitel_2.2&gt;",Uebersetzungen!$B$3:$E$201,Uebersetzungen!$B$2+1,FALSE)</f>
        <v>Bern</v>
      </c>
      <c r="C17" s="59">
        <v>888558.00000000547</v>
      </c>
      <c r="D17" s="60">
        <v>0.14802321954769207</v>
      </c>
      <c r="E17" s="61">
        <v>570144.96103453997</v>
      </c>
      <c r="F17" s="60">
        <v>0.94077447734489927</v>
      </c>
      <c r="G17" s="62">
        <v>64.165193609706563</v>
      </c>
      <c r="H17" s="60">
        <v>0.58177104339496566</v>
      </c>
      <c r="I17" s="61">
        <v>666008.00000001176</v>
      </c>
      <c r="J17" s="60">
        <v>0.75584482342383819</v>
      </c>
      <c r="K17" s="61">
        <v>553289.83800112247</v>
      </c>
      <c r="L17" s="60">
        <v>0.98234658739596614</v>
      </c>
      <c r="M17" s="61">
        <v>16680.617778974411</v>
      </c>
      <c r="N17" s="60">
        <v>9.4282016021804882</v>
      </c>
      <c r="O17" s="62">
        <v>83.075554347862592</v>
      </c>
      <c r="P17" s="60">
        <v>0.54518491911569811</v>
      </c>
      <c r="Q17" s="62">
        <v>3.0148064600710356</v>
      </c>
      <c r="R17" s="63">
        <v>0.28177581706143817</v>
      </c>
    </row>
    <row r="18" spans="1:18" x14ac:dyDescent="0.2">
      <c r="A18" s="50"/>
      <c r="B18" s="20" t="str">
        <f>VLOOKUP("&lt;Zeilentitel_2.3&gt;",Uebersetzungen!$B$3:$E$201,Uebersetzungen!$B$2+1,FALSE)</f>
        <v>Luzern</v>
      </c>
      <c r="C18" s="59">
        <v>358552.99999999191</v>
      </c>
      <c r="D18" s="60">
        <v>0.1982652969797096</v>
      </c>
      <c r="E18" s="61">
        <v>240873.95727772324</v>
      </c>
      <c r="F18" s="60">
        <v>0.98750729574407481</v>
      </c>
      <c r="G18" s="62">
        <v>67.179456671044079</v>
      </c>
      <c r="H18" s="60">
        <v>0.63728829793018349</v>
      </c>
      <c r="I18" s="61">
        <v>282248.99999999604</v>
      </c>
      <c r="J18" s="60">
        <v>0.7757794709550504</v>
      </c>
      <c r="K18" s="61">
        <v>235059.46898966079</v>
      </c>
      <c r="L18" s="60">
        <v>1.0265065130288327</v>
      </c>
      <c r="M18" s="61">
        <v>7470.7302705630409</v>
      </c>
      <c r="N18" s="60">
        <v>10.142805703545267</v>
      </c>
      <c r="O18" s="62">
        <v>83.280886376803494</v>
      </c>
      <c r="P18" s="60">
        <v>0.59447763881343008</v>
      </c>
      <c r="Q18" s="62">
        <v>3.1782298763261636</v>
      </c>
      <c r="R18" s="63">
        <v>0.31927870714864559</v>
      </c>
    </row>
    <row r="19" spans="1:18" x14ac:dyDescent="0.2">
      <c r="A19" s="50"/>
      <c r="B19" s="20" t="str">
        <f>VLOOKUP("&lt;Zeilentitel_2.4&gt;",Uebersetzungen!$B$3:$E$201,Uebersetzungen!$B$2+1,FALSE)</f>
        <v>Uri</v>
      </c>
      <c r="C19" s="59">
        <v>31562.000000000065</v>
      </c>
      <c r="D19" s="60">
        <v>1.1178706080999914</v>
      </c>
      <c r="E19" s="61">
        <v>19797.46653541008</v>
      </c>
      <c r="F19" s="60">
        <v>5.4024154180793875</v>
      </c>
      <c r="G19" s="62">
        <v>62.725640122330773</v>
      </c>
      <c r="H19" s="60">
        <v>3.1396834178897706</v>
      </c>
      <c r="I19" s="61">
        <v>23682.000000000131</v>
      </c>
      <c r="J19" s="60">
        <v>4.1395056737246705</v>
      </c>
      <c r="K19" s="61">
        <v>19182.305401113794</v>
      </c>
      <c r="L19" s="60">
        <v>5.6382727949285103</v>
      </c>
      <c r="M19" s="64">
        <v>459.69189239618515</v>
      </c>
      <c r="N19" s="65">
        <v>66.119635221169418</v>
      </c>
      <c r="O19" s="62">
        <v>80.999516092870905</v>
      </c>
      <c r="P19" s="60">
        <v>2.9591759737171373</v>
      </c>
      <c r="Q19" s="66">
        <v>2.3964371475885988</v>
      </c>
      <c r="R19" s="67">
        <v>1.5670289290189126</v>
      </c>
    </row>
    <row r="20" spans="1:18" x14ac:dyDescent="0.2">
      <c r="A20" s="50"/>
      <c r="B20" s="20" t="str">
        <f>VLOOKUP("&lt;Zeilentitel_2.5&gt;",Uebersetzungen!$B$3:$E$201,Uebersetzungen!$B$2+1,FALSE)</f>
        <v>Schwyz</v>
      </c>
      <c r="C20" s="59">
        <v>140631</v>
      </c>
      <c r="D20" s="60">
        <v>0.39258717642498686</v>
      </c>
      <c r="E20" s="61">
        <v>93280.820008192095</v>
      </c>
      <c r="F20" s="60">
        <v>2.2195263576203459</v>
      </c>
      <c r="G20" s="62">
        <v>66.330197472955533</v>
      </c>
      <c r="H20" s="60">
        <v>1.4665842028055494</v>
      </c>
      <c r="I20" s="61">
        <v>109923.00000000036</v>
      </c>
      <c r="J20" s="60">
        <v>1.7207488056857732</v>
      </c>
      <c r="K20" s="61">
        <v>90034.362136033451</v>
      </c>
      <c r="L20" s="60">
        <v>2.3410750313095314</v>
      </c>
      <c r="M20" s="61">
        <v>2712.8773614017587</v>
      </c>
      <c r="N20" s="60">
        <v>23.725292746624067</v>
      </c>
      <c r="O20" s="62">
        <v>81.906754852062946</v>
      </c>
      <c r="P20" s="60">
        <v>1.3881731725729765</v>
      </c>
      <c r="Q20" s="62">
        <v>3.0131577511515601</v>
      </c>
      <c r="R20" s="63">
        <v>0.70839414963202385</v>
      </c>
    </row>
    <row r="21" spans="1:18" x14ac:dyDescent="0.2">
      <c r="A21" s="50"/>
      <c r="B21" s="20" t="str">
        <f>VLOOKUP("&lt;Zeilentitel_2.6&gt;",Uebersetzungen!$B$3:$E$201,Uebersetzungen!$B$2+1,FALSE)</f>
        <v>Obwalden</v>
      </c>
      <c r="C21" s="59">
        <v>32753.000000000167</v>
      </c>
      <c r="D21" s="60">
        <v>0.85061838595670947</v>
      </c>
      <c r="E21" s="61">
        <v>21394.503069662762</v>
      </c>
      <c r="F21" s="60">
        <v>4.7815848570167843</v>
      </c>
      <c r="G21" s="62">
        <v>65.320743350724058</v>
      </c>
      <c r="H21" s="60">
        <v>2.9299138245049363</v>
      </c>
      <c r="I21" s="61">
        <v>25028.000000000153</v>
      </c>
      <c r="J21" s="60">
        <v>3.7683052785974938</v>
      </c>
      <c r="K21" s="61">
        <v>20903.540497725924</v>
      </c>
      <c r="L21" s="60">
        <v>4.9454431735390934</v>
      </c>
      <c r="M21" s="64">
        <v>326.77338786877459</v>
      </c>
      <c r="N21" s="65">
        <v>64.847106033459909</v>
      </c>
      <c r="O21" s="62">
        <v>83.52061889773772</v>
      </c>
      <c r="P21" s="60">
        <v>2.686883977391247</v>
      </c>
      <c r="Q21" s="66">
        <v>1.563244216472917</v>
      </c>
      <c r="R21" s="67">
        <v>1.0098449690773017</v>
      </c>
    </row>
    <row r="22" spans="1:18" x14ac:dyDescent="0.2">
      <c r="A22" s="50"/>
      <c r="B22" s="20" t="str">
        <f>VLOOKUP("&lt;Zeilentitel_2.7&gt;",Uebersetzungen!$B$3:$E$201,Uebersetzungen!$B$2+1,FALSE)</f>
        <v>Nidwalden</v>
      </c>
      <c r="C22" s="59">
        <v>38257.999999999913</v>
      </c>
      <c r="D22" s="60">
        <v>0.92153462067472824</v>
      </c>
      <c r="E22" s="61">
        <v>25345.915621028245</v>
      </c>
      <c r="F22" s="60">
        <v>4.3556973458440869</v>
      </c>
      <c r="G22" s="62">
        <v>66.249975484939895</v>
      </c>
      <c r="H22" s="60">
        <v>2.7929045751840533</v>
      </c>
      <c r="I22" s="61">
        <v>28572.99999999992</v>
      </c>
      <c r="J22" s="60">
        <v>3.6833345073708186</v>
      </c>
      <c r="K22" s="61">
        <v>24469.495230731132</v>
      </c>
      <c r="L22" s="60">
        <v>4.5895664614764744</v>
      </c>
      <c r="M22" s="64">
        <v>553.58160269246332</v>
      </c>
      <c r="N22" s="65">
        <v>50.503278107754149</v>
      </c>
      <c r="O22" s="62">
        <v>85.638523188783822</v>
      </c>
      <c r="P22" s="60">
        <v>2.4787824398207192</v>
      </c>
      <c r="Q22" s="66">
        <v>2.2623335605109762</v>
      </c>
      <c r="R22" s="67">
        <v>1.1363815792692744</v>
      </c>
    </row>
    <row r="23" spans="1:18" x14ac:dyDescent="0.2">
      <c r="A23" s="50"/>
      <c r="B23" s="20" t="str">
        <f>VLOOKUP("&lt;Zeilentitel_2.8&gt;",Uebersetzungen!$B$3:$E$201,Uebersetzungen!$B$2+1,FALSE)</f>
        <v>Glarus</v>
      </c>
      <c r="C23" s="59">
        <v>34959.999999999978</v>
      </c>
      <c r="D23" s="60">
        <v>1.0308871229782066</v>
      </c>
      <c r="E23" s="61">
        <v>21854.891657370576</v>
      </c>
      <c r="F23" s="60">
        <v>5.2594179322208667</v>
      </c>
      <c r="G23" s="62">
        <v>62.513992154950195</v>
      </c>
      <c r="H23" s="60">
        <v>3.0805596991807036</v>
      </c>
      <c r="I23" s="61">
        <v>25993.030723895303</v>
      </c>
      <c r="J23" s="60">
        <v>4.2192133945088202</v>
      </c>
      <c r="K23" s="61">
        <v>20898.791354751604</v>
      </c>
      <c r="L23" s="60">
        <v>5.5940008690530219</v>
      </c>
      <c r="M23" s="64">
        <v>556.37668021075558</v>
      </c>
      <c r="N23" s="65">
        <v>54.261888021040136</v>
      </c>
      <c r="O23" s="62">
        <v>80.401518302132487</v>
      </c>
      <c r="P23" s="60">
        <v>3.0652316900311973</v>
      </c>
      <c r="Q23" s="66">
        <v>2.6622433363078488</v>
      </c>
      <c r="R23" s="67">
        <v>1.4329561841277747</v>
      </c>
    </row>
    <row r="24" spans="1:18" x14ac:dyDescent="0.2">
      <c r="A24" s="50"/>
      <c r="B24" s="20" t="str">
        <f>VLOOKUP("&lt;Zeilentitel_2.9&gt;",Uebersetzungen!$B$3:$E$201,Uebersetzungen!$B$2+1,FALSE)</f>
        <v>Zug</v>
      </c>
      <c r="C24" s="59">
        <v>110118.99999999888</v>
      </c>
      <c r="D24" s="60">
        <v>0.31952931198555673</v>
      </c>
      <c r="E24" s="61">
        <v>73238.18389898348</v>
      </c>
      <c r="F24" s="60">
        <v>1.7564812203336404</v>
      </c>
      <c r="G24" s="62">
        <v>66.508217382090479</v>
      </c>
      <c r="H24" s="60">
        <v>1.147225102244235</v>
      </c>
      <c r="I24" s="61">
        <v>87256.999999999258</v>
      </c>
      <c r="J24" s="60">
        <v>1.3281413243668021</v>
      </c>
      <c r="K24" s="61">
        <v>70907.122946336458</v>
      </c>
      <c r="L24" s="60">
        <v>1.8442031836345743</v>
      </c>
      <c r="M24" s="61">
        <v>2857.5845120726626</v>
      </c>
      <c r="N24" s="60">
        <v>15.583409062272404</v>
      </c>
      <c r="O24" s="62">
        <v>81.262389202398737</v>
      </c>
      <c r="P24" s="60">
        <v>1.0947399999327558</v>
      </c>
      <c r="Q24" s="62">
        <v>4.0300387229578147</v>
      </c>
      <c r="R24" s="63">
        <v>0.62149245980135426</v>
      </c>
    </row>
    <row r="25" spans="1:18" x14ac:dyDescent="0.2">
      <c r="A25" s="50"/>
      <c r="B25" s="20" t="str">
        <f>VLOOKUP("&lt;Zeilentitel_2.10&gt;",Uebersetzungen!$B$3:$E$201,Uebersetzungen!$B$2+1,FALSE)</f>
        <v>Freiburg</v>
      </c>
      <c r="C25" s="59">
        <v>279035.99999999796</v>
      </c>
      <c r="D25" s="60">
        <v>0.30535297827093977</v>
      </c>
      <c r="E25" s="61">
        <v>184307.70957031503</v>
      </c>
      <c r="F25" s="60">
        <v>1.6374990209753353</v>
      </c>
      <c r="G25" s="62">
        <v>66.051588171532131</v>
      </c>
      <c r="H25" s="60">
        <v>1.0289618791900921</v>
      </c>
      <c r="I25" s="61">
        <v>224697.9999999986</v>
      </c>
      <c r="J25" s="60">
        <v>1.1926151212789764</v>
      </c>
      <c r="K25" s="61">
        <v>180684.48864223482</v>
      </c>
      <c r="L25" s="60">
        <v>1.6887343008868729</v>
      </c>
      <c r="M25" s="61">
        <v>9155.0971146427382</v>
      </c>
      <c r="N25" s="60">
        <v>12.761752444893299</v>
      </c>
      <c r="O25" s="62">
        <v>80.412148146505956</v>
      </c>
      <c r="P25" s="60">
        <v>0.99491682172208584</v>
      </c>
      <c r="Q25" s="62">
        <v>5.0668970997119285</v>
      </c>
      <c r="R25" s="63">
        <v>0.63718666533384116</v>
      </c>
    </row>
    <row r="26" spans="1:18" x14ac:dyDescent="0.2">
      <c r="A26" s="50"/>
      <c r="B26" s="20" t="str">
        <f>VLOOKUP("&lt;Zeilentitel_2.11&gt;",Uebersetzungen!$B$3:$E$201,Uebersetzungen!$B$2+1,FALSE)</f>
        <v>Solothurn</v>
      </c>
      <c r="C26" s="59">
        <v>240566.00000000338</v>
      </c>
      <c r="D26" s="60">
        <v>0.37068380482850133</v>
      </c>
      <c r="E26" s="61">
        <v>151841.49083136042</v>
      </c>
      <c r="F26" s="60">
        <v>1.8734901890552367</v>
      </c>
      <c r="G26" s="62">
        <v>63.118433540632637</v>
      </c>
      <c r="H26" s="60">
        <v>1.1369070160228318</v>
      </c>
      <c r="I26" s="61">
        <v>183243.00000000326</v>
      </c>
      <c r="J26" s="60">
        <v>1.4496428971497024</v>
      </c>
      <c r="K26" s="61">
        <v>148331.9034899273</v>
      </c>
      <c r="L26" s="60">
        <v>1.9356977603310093</v>
      </c>
      <c r="M26" s="61">
        <v>5968.4612365025605</v>
      </c>
      <c r="N26" s="60">
        <v>15.950438554187151</v>
      </c>
      <c r="O26" s="62">
        <v>80.948196378538157</v>
      </c>
      <c r="P26" s="60">
        <v>1.1048596466306435</v>
      </c>
      <c r="Q26" s="62">
        <v>4.02372051870005</v>
      </c>
      <c r="R26" s="63">
        <v>0.63387480542923047</v>
      </c>
    </row>
    <row r="27" spans="1:18" x14ac:dyDescent="0.2">
      <c r="A27" s="50"/>
      <c r="B27" s="20" t="str">
        <f>VLOOKUP("&lt;Zeilentitel_2.12&gt;",Uebersetzungen!$B$3:$E$201,Uebersetzungen!$B$2+1,FALSE)</f>
        <v>Basel-Stadt</v>
      </c>
      <c r="C27" s="59">
        <v>167633.00000000297</v>
      </c>
      <c r="D27" s="60">
        <v>0.45500815859592564</v>
      </c>
      <c r="E27" s="61">
        <v>105057.23108919813</v>
      </c>
      <c r="F27" s="60">
        <v>2.3113402197403028</v>
      </c>
      <c r="G27" s="62">
        <v>62.670972355798838</v>
      </c>
      <c r="H27" s="60">
        <v>1.4075674881400744</v>
      </c>
      <c r="I27" s="61">
        <v>130954.00000000233</v>
      </c>
      <c r="J27" s="60">
        <v>1.715163822240892</v>
      </c>
      <c r="K27" s="61">
        <v>102187.44130553547</v>
      </c>
      <c r="L27" s="60">
        <v>2.4029977615118914</v>
      </c>
      <c r="M27" s="61">
        <v>6694.4995228559319</v>
      </c>
      <c r="N27" s="60">
        <v>15.070916229844233</v>
      </c>
      <c r="O27" s="62">
        <v>78.033081315220343</v>
      </c>
      <c r="P27" s="60">
        <v>1.4307816753020859</v>
      </c>
      <c r="Q27" s="62">
        <v>6.5511959564969455</v>
      </c>
      <c r="R27" s="63">
        <v>0.9690753065504083</v>
      </c>
    </row>
    <row r="28" spans="1:18" x14ac:dyDescent="0.2">
      <c r="A28" s="50"/>
      <c r="B28" s="20" t="str">
        <f>VLOOKUP("&lt;Zeilentitel_2.13&gt;",Uebersetzungen!$B$3:$E$201,Uebersetzungen!$B$2+1,FALSE)</f>
        <v>Basel-Landschaft</v>
      </c>
      <c r="C28" s="59">
        <v>250951.00000000105</v>
      </c>
      <c r="D28" s="60">
        <v>0.34188826947043532</v>
      </c>
      <c r="E28" s="61">
        <v>152557.05435367126</v>
      </c>
      <c r="F28" s="60">
        <v>1.9367187101671595</v>
      </c>
      <c r="G28" s="62">
        <v>60.791570606879688</v>
      </c>
      <c r="H28" s="60">
        <v>1.1312094458582891</v>
      </c>
      <c r="I28" s="61">
        <v>185475.00000000186</v>
      </c>
      <c r="J28" s="60">
        <v>1.5159501740697183</v>
      </c>
      <c r="K28" s="61">
        <v>147663.53233119447</v>
      </c>
      <c r="L28" s="60">
        <v>2.0232241794553039</v>
      </c>
      <c r="M28" s="61">
        <v>5614.8772768948238</v>
      </c>
      <c r="N28" s="60">
        <v>16.462692012920289</v>
      </c>
      <c r="O28" s="62">
        <v>79.613711999564899</v>
      </c>
      <c r="P28" s="60">
        <v>1.1354863820832861</v>
      </c>
      <c r="Q28" s="62">
        <v>3.8024806722767668</v>
      </c>
      <c r="R28" s="63">
        <v>0.61864565439592756</v>
      </c>
    </row>
    <row r="29" spans="1:18" x14ac:dyDescent="0.2">
      <c r="A29" s="50"/>
      <c r="B29" s="20" t="str">
        <f>VLOOKUP("&lt;Zeilentitel_2.14&gt;",Uebersetzungen!$B$3:$E$201,Uebersetzungen!$B$2+1,FALSE)</f>
        <v>Schaffhausen</v>
      </c>
      <c r="C29" s="59">
        <v>73073.00000000064</v>
      </c>
      <c r="D29" s="60">
        <v>0.7813219172874124</v>
      </c>
      <c r="E29" s="61">
        <v>45770.037550520632</v>
      </c>
      <c r="F29" s="60">
        <v>3.6937117612728763</v>
      </c>
      <c r="G29" s="62">
        <v>62.636045530524584</v>
      </c>
      <c r="H29" s="60">
        <v>2.0970816805640311</v>
      </c>
      <c r="I29" s="61">
        <v>55109.000000000655</v>
      </c>
      <c r="J29" s="60">
        <v>2.945970406289343</v>
      </c>
      <c r="K29" s="61">
        <v>44458.520479738967</v>
      </c>
      <c r="L29" s="60">
        <v>3.8547118961094067</v>
      </c>
      <c r="M29" s="68">
        <v>1621.1678875909579</v>
      </c>
      <c r="N29" s="65">
        <v>31.749136154695471</v>
      </c>
      <c r="O29" s="62">
        <v>80.673792810137073</v>
      </c>
      <c r="P29" s="60">
        <v>2.1081784759533804</v>
      </c>
      <c r="Q29" s="66">
        <v>3.6464728697613107</v>
      </c>
      <c r="R29" s="67">
        <v>1.1447700562125518</v>
      </c>
    </row>
    <row r="30" spans="1:18" x14ac:dyDescent="0.2">
      <c r="A30" s="50"/>
      <c r="B30" s="20" t="str">
        <f>VLOOKUP("&lt;Zeilentitel_2.15&gt;",Uebersetzungen!$B$3:$E$201,Uebersetzungen!$B$2+1,FALSE)</f>
        <v>Appenzell Ausserrhoden</v>
      </c>
      <c r="C30" s="59">
        <v>46579.000000000291</v>
      </c>
      <c r="D30" s="60">
        <v>0.84673135077890782</v>
      </c>
      <c r="E30" s="61">
        <v>29642.338808117187</v>
      </c>
      <c r="F30" s="60">
        <v>4.3008864600727534</v>
      </c>
      <c r="G30" s="62">
        <v>63.63884756675111</v>
      </c>
      <c r="H30" s="60">
        <v>2.6092895924807635</v>
      </c>
      <c r="I30" s="61">
        <v>35301.000000000291</v>
      </c>
      <c r="J30" s="60">
        <v>3.3833746400139502</v>
      </c>
      <c r="K30" s="61">
        <v>28464.726855003555</v>
      </c>
      <c r="L30" s="60">
        <v>4.5514991275378307</v>
      </c>
      <c r="M30" s="64">
        <v>779.12201633154348</v>
      </c>
      <c r="N30" s="65">
        <v>46.120017226908246</v>
      </c>
      <c r="O30" s="62">
        <v>80.63433572704264</v>
      </c>
      <c r="P30" s="60">
        <v>2.551630959280331</v>
      </c>
      <c r="Q30" s="66">
        <v>2.737149104926643</v>
      </c>
      <c r="R30" s="67">
        <v>1.2506939776612533</v>
      </c>
    </row>
    <row r="31" spans="1:18" x14ac:dyDescent="0.2">
      <c r="A31" s="50"/>
      <c r="B31" s="20" t="str">
        <f>VLOOKUP("&lt;Zeilentitel_2.16&gt;",Uebersetzungen!$B$3:$E$201,Uebersetzungen!$B$2+1,FALSE)</f>
        <v>Appenzell Innerrhoden</v>
      </c>
      <c r="C31" s="59">
        <v>13537.000000000055</v>
      </c>
      <c r="D31" s="60">
        <v>1.5664021983065151</v>
      </c>
      <c r="E31" s="61">
        <v>9558.0748034390635</v>
      </c>
      <c r="F31" s="60">
        <v>7.2123045465826054</v>
      </c>
      <c r="G31" s="62">
        <v>70.607038512514038</v>
      </c>
      <c r="H31" s="60">
        <v>4.637264048759107</v>
      </c>
      <c r="I31" s="61">
        <v>10827.96927610481</v>
      </c>
      <c r="J31" s="60">
        <v>5.8816818147238195</v>
      </c>
      <c r="K31" s="61">
        <v>9334.2582796798288</v>
      </c>
      <c r="L31" s="60">
        <v>7.522164919820546</v>
      </c>
      <c r="M31" s="61" t="s">
        <v>206</v>
      </c>
      <c r="N31" s="60" t="s">
        <v>206</v>
      </c>
      <c r="O31" s="62">
        <v>86.205068020267603</v>
      </c>
      <c r="P31" s="60">
        <v>4.1141450825840167</v>
      </c>
      <c r="Q31" s="62" t="s">
        <v>206</v>
      </c>
      <c r="R31" s="63" t="s">
        <v>206</v>
      </c>
    </row>
    <row r="32" spans="1:18" x14ac:dyDescent="0.2">
      <c r="A32" s="50"/>
      <c r="B32" s="20" t="str">
        <f>VLOOKUP("&lt;Zeilentitel_2.17&gt;",Uebersetzungen!$B$3:$E$201,Uebersetzungen!$B$2+1,FALSE)</f>
        <v>St. Gallen</v>
      </c>
      <c r="C32" s="59">
        <v>444144.00000000693</v>
      </c>
      <c r="D32" s="60">
        <v>0.23622220314674439</v>
      </c>
      <c r="E32" s="61">
        <v>290587.51663738315</v>
      </c>
      <c r="F32" s="60">
        <v>1.3168354320854847</v>
      </c>
      <c r="G32" s="62">
        <v>65.426419502994221</v>
      </c>
      <c r="H32" s="60">
        <v>0.83596656623412002</v>
      </c>
      <c r="I32" s="61">
        <v>346667.00000000477</v>
      </c>
      <c r="J32" s="60">
        <v>1.0132531037070338</v>
      </c>
      <c r="K32" s="61">
        <v>283401.1583417537</v>
      </c>
      <c r="L32" s="60">
        <v>1.3675975662044828</v>
      </c>
      <c r="M32" s="61">
        <v>10055.404253728537</v>
      </c>
      <c r="N32" s="60">
        <v>12.396850881463097</v>
      </c>
      <c r="O32" s="62">
        <v>81.750255531028287</v>
      </c>
      <c r="P32" s="60">
        <v>0.79836210807070529</v>
      </c>
      <c r="Q32" s="62">
        <v>3.5481168505326752</v>
      </c>
      <c r="R32" s="63">
        <v>0.4353323089932144</v>
      </c>
    </row>
    <row r="33" spans="1:18" x14ac:dyDescent="0.2">
      <c r="A33" s="50"/>
      <c r="B33" s="21" t="str">
        <f>VLOOKUP("&lt;Zeilentitel_2.18&gt;",Uebersetzungen!$B$3:$E$201,Uebersetzungen!$B$2+1,FALSE)</f>
        <v>Graubünden</v>
      </c>
      <c r="C33" s="69">
        <v>174610.99999999732</v>
      </c>
      <c r="D33" s="70">
        <v>0.33944767742195309</v>
      </c>
      <c r="E33" s="71">
        <v>109254.31425392131</v>
      </c>
      <c r="F33" s="70">
        <v>2.1832896226983585</v>
      </c>
      <c r="G33" s="72">
        <v>62.570121157271295</v>
      </c>
      <c r="H33" s="70">
        <v>1.3300501792230079</v>
      </c>
      <c r="I33" s="71">
        <v>129419.99999999837</v>
      </c>
      <c r="J33" s="70">
        <v>1.7179750076147322</v>
      </c>
      <c r="K33" s="71">
        <v>104978.41308422461</v>
      </c>
      <c r="L33" s="70">
        <v>2.3050080012425656</v>
      </c>
      <c r="M33" s="71">
        <v>2294.1767169753762</v>
      </c>
      <c r="N33" s="70">
        <v>25.854640307180482</v>
      </c>
      <c r="O33" s="72">
        <v>81.114521004656098</v>
      </c>
      <c r="P33" s="70">
        <v>1.2752168155708858</v>
      </c>
      <c r="Q33" s="72">
        <v>2.1853794981019088</v>
      </c>
      <c r="R33" s="73">
        <v>0.56109271699755725</v>
      </c>
    </row>
    <row r="34" spans="1:18" x14ac:dyDescent="0.2">
      <c r="A34" s="50"/>
      <c r="B34" s="20" t="str">
        <f>VLOOKUP("&lt;Zeilentitel_2.19&gt;",Uebersetzungen!$B$3:$E$201,Uebersetzungen!$B$2+1,FALSE)</f>
        <v>Aargau</v>
      </c>
      <c r="C34" s="59">
        <v>604896.99999998673</v>
      </c>
      <c r="D34" s="60">
        <v>0.14982201152282898</v>
      </c>
      <c r="E34" s="61">
        <v>397617.91654129635</v>
      </c>
      <c r="F34" s="60">
        <v>0.78362970982332669</v>
      </c>
      <c r="G34" s="62">
        <v>65.733160611030485</v>
      </c>
      <c r="H34" s="60">
        <v>0.49508207574682217</v>
      </c>
      <c r="I34" s="61">
        <v>473329.99999999278</v>
      </c>
      <c r="J34" s="60">
        <v>0.60416144053626619</v>
      </c>
      <c r="K34" s="61">
        <v>386910.22477528104</v>
      </c>
      <c r="L34" s="60">
        <v>0.81681095089522227</v>
      </c>
      <c r="M34" s="61">
        <v>15601.431039051327</v>
      </c>
      <c r="N34" s="60">
        <v>6.8558340257642341</v>
      </c>
      <c r="O34" s="62">
        <v>81.742172432612961</v>
      </c>
      <c r="P34" s="60">
        <v>0.47290235054981622</v>
      </c>
      <c r="Q34" s="62">
        <v>4.0323129346381839</v>
      </c>
      <c r="R34" s="63">
        <v>0.27332430187321766</v>
      </c>
    </row>
    <row r="35" spans="1:18" ht="12.75" customHeight="1" x14ac:dyDescent="0.2">
      <c r="A35" s="50"/>
      <c r="B35" s="20" t="str">
        <f>VLOOKUP("&lt;Zeilentitel_2.20&gt;",Uebersetzungen!$B$3:$E$201,Uebersetzungen!$B$2+1,FALSE)</f>
        <v>Thurgau</v>
      </c>
      <c r="C35" s="59">
        <v>245573.99999999756</v>
      </c>
      <c r="D35" s="60">
        <v>0.35006434836603123</v>
      </c>
      <c r="E35" s="61">
        <v>162780.01858846331</v>
      </c>
      <c r="F35" s="60">
        <v>1.7732309616139899</v>
      </c>
      <c r="G35" s="62">
        <v>66.285526394677348</v>
      </c>
      <c r="H35" s="60">
        <v>1.1149405697431263</v>
      </c>
      <c r="I35" s="61">
        <v>191362.9999999982</v>
      </c>
      <c r="J35" s="60">
        <v>1.4025016381247508</v>
      </c>
      <c r="K35" s="61">
        <v>157183.59905464723</v>
      </c>
      <c r="L35" s="60">
        <v>1.8716650219575264</v>
      </c>
      <c r="M35" s="61">
        <v>6093.3301421375636</v>
      </c>
      <c r="N35" s="60">
        <v>15.964155012067922</v>
      </c>
      <c r="O35" s="62">
        <v>82.138970989506177</v>
      </c>
      <c r="P35" s="60">
        <v>1.0683620850071378</v>
      </c>
      <c r="Q35" s="62">
        <v>3.8765686616064348</v>
      </c>
      <c r="R35" s="63">
        <v>0.61200095593377801</v>
      </c>
    </row>
    <row r="36" spans="1:18" x14ac:dyDescent="0.2">
      <c r="A36" s="50"/>
      <c r="B36" s="20" t="str">
        <f>VLOOKUP("&lt;Zeilentitel_2.21&gt;",Uebersetzungen!$B$3:$E$201,Uebersetzungen!$B$2+1,FALSE)</f>
        <v>Ticino</v>
      </c>
      <c r="C36" s="59">
        <v>306301.99999999983</v>
      </c>
      <c r="D36" s="60">
        <v>0.20329241596110251</v>
      </c>
      <c r="E36" s="61">
        <v>167908.51065938454</v>
      </c>
      <c r="F36" s="60">
        <v>1.3697020043973216</v>
      </c>
      <c r="G36" s="62">
        <v>54.817960920720274</v>
      </c>
      <c r="H36" s="60">
        <v>0.73408254389008221</v>
      </c>
      <c r="I36" s="61">
        <v>225782.00000000236</v>
      </c>
      <c r="J36" s="60">
        <v>0.96603854870335781</v>
      </c>
      <c r="K36" s="61">
        <v>162343.91864966997</v>
      </c>
      <c r="L36" s="60">
        <v>1.4259095694854609</v>
      </c>
      <c r="M36" s="61">
        <v>11976.775328125661</v>
      </c>
      <c r="N36" s="60">
        <v>7.8633257931190927</v>
      </c>
      <c r="O36" s="62">
        <v>71.902950035728381</v>
      </c>
      <c r="P36" s="60">
        <v>0.80211097672969345</v>
      </c>
      <c r="Q36" s="62">
        <v>7.377409285019743</v>
      </c>
      <c r="R36" s="63">
        <v>0.56524612387888684</v>
      </c>
    </row>
    <row r="37" spans="1:18" x14ac:dyDescent="0.2">
      <c r="A37" s="50"/>
      <c r="B37" s="20" t="str">
        <f>VLOOKUP("&lt;Zeilentitel_2.22&gt;",Uebersetzungen!$B$3:$E$201,Uebersetzungen!$B$2+1,FALSE)</f>
        <v>Vaud</v>
      </c>
      <c r="C37" s="59">
        <v>690662.99999999336</v>
      </c>
      <c r="D37" s="60">
        <v>0.1378900541147984</v>
      </c>
      <c r="E37" s="61">
        <v>432781.34796817077</v>
      </c>
      <c r="F37" s="60">
        <v>0.77078601161764659</v>
      </c>
      <c r="G37" s="62">
        <v>62.661724743930826</v>
      </c>
      <c r="H37" s="60">
        <v>0.47273983003047704</v>
      </c>
      <c r="I37" s="61">
        <v>554438.99999999302</v>
      </c>
      <c r="J37" s="60">
        <v>0.53188804030679537</v>
      </c>
      <c r="K37" s="61">
        <v>423398.98984201049</v>
      </c>
      <c r="L37" s="60">
        <v>0.7948909427155465</v>
      </c>
      <c r="M37" s="61">
        <v>30794.499742564072</v>
      </c>
      <c r="N37" s="60">
        <v>4.7746758047864679</v>
      </c>
      <c r="O37" s="62">
        <v>76.365297145766405</v>
      </c>
      <c r="P37" s="60">
        <v>0.47935874430277181</v>
      </c>
      <c r="Q37" s="62">
        <v>7.273163252953184</v>
      </c>
      <c r="R37" s="63">
        <v>0.3400775670105336</v>
      </c>
    </row>
    <row r="38" spans="1:18" x14ac:dyDescent="0.2">
      <c r="A38" s="50"/>
      <c r="B38" s="20" t="str">
        <f>VLOOKUP("&lt;Zeilentitel_2.23&gt;",Uebersetzungen!$B$3:$E$201,Uebersetzungen!$B$2+1,FALSE)</f>
        <v>Wallis</v>
      </c>
      <c r="C38" s="59">
        <v>306633.99999999744</v>
      </c>
      <c r="D38" s="60">
        <v>0.29928814409266491</v>
      </c>
      <c r="E38" s="61">
        <v>188293.19822636206</v>
      </c>
      <c r="F38" s="60">
        <v>1.7410876156589041</v>
      </c>
      <c r="G38" s="62">
        <v>61.406497070241272</v>
      </c>
      <c r="H38" s="60">
        <v>1.0188212393521425</v>
      </c>
      <c r="I38" s="61">
        <v>234531.99999999919</v>
      </c>
      <c r="J38" s="60">
        <v>1.2811861474143063</v>
      </c>
      <c r="K38" s="61">
        <v>184052.01689916386</v>
      </c>
      <c r="L38" s="60">
        <v>1.7958679108623454</v>
      </c>
      <c r="M38" s="61">
        <v>7483.3463115575678</v>
      </c>
      <c r="N38" s="60">
        <v>14.250293346145339</v>
      </c>
      <c r="O38" s="62">
        <v>78.476291891581752</v>
      </c>
      <c r="P38" s="60">
        <v>1.0158298021640206</v>
      </c>
      <c r="Q38" s="62">
        <v>4.0658866105539353</v>
      </c>
      <c r="R38" s="63">
        <v>0.57229688484628483</v>
      </c>
    </row>
    <row r="39" spans="1:18" x14ac:dyDescent="0.2">
      <c r="A39" s="50"/>
      <c r="B39" s="20" t="str">
        <f>VLOOKUP("&lt;Zeilentitel_2.24&gt;",Uebersetzungen!$B$3:$E$201,Uebersetzungen!$B$2+1,FALSE)</f>
        <v>Neuchâtel</v>
      </c>
      <c r="C39" s="59">
        <v>148771.9999999991</v>
      </c>
      <c r="D39" s="60">
        <v>0.27454805374008501</v>
      </c>
      <c r="E39" s="61">
        <v>90636.103578983762</v>
      </c>
      <c r="F39" s="60">
        <v>1.7316151116712011</v>
      </c>
      <c r="G39" s="62">
        <v>60.922823904353187</v>
      </c>
      <c r="H39" s="60">
        <v>1.0226176225429882</v>
      </c>
      <c r="I39" s="61">
        <v>115307.99999999927</v>
      </c>
      <c r="J39" s="60">
        <v>1.240202419353214</v>
      </c>
      <c r="K39" s="61">
        <v>88915.749806850508</v>
      </c>
      <c r="L39" s="60">
        <v>1.7778173875864101</v>
      </c>
      <c r="M39" s="61">
        <v>5819.0207064428369</v>
      </c>
      <c r="N39" s="60">
        <v>11.034523648812938</v>
      </c>
      <c r="O39" s="62">
        <v>77.111518547586527</v>
      </c>
      <c r="P39" s="60">
        <v>1.0386103704103533</v>
      </c>
      <c r="Q39" s="62">
        <v>6.544420666848505</v>
      </c>
      <c r="R39" s="63">
        <v>0.70821655359677305</v>
      </c>
    </row>
    <row r="40" spans="1:18" x14ac:dyDescent="0.2">
      <c r="A40" s="50"/>
      <c r="B40" s="20" t="str">
        <f>VLOOKUP("&lt;Zeilentitel_2.25&gt;",Uebersetzungen!$B$3:$E$201,Uebersetzungen!$B$2+1,FALSE)</f>
        <v>Genève</v>
      </c>
      <c r="C40" s="59">
        <v>400257.99999999616</v>
      </c>
      <c r="D40" s="60">
        <v>0.23720624115939237</v>
      </c>
      <c r="E40" s="61">
        <v>241476.83816139464</v>
      </c>
      <c r="F40" s="60">
        <v>1.1318722991223804</v>
      </c>
      <c r="G40" s="62">
        <v>60.33029649910732</v>
      </c>
      <c r="H40" s="60">
        <v>0.65827227019116918</v>
      </c>
      <c r="I40" s="61">
        <v>320487.9999999975</v>
      </c>
      <c r="J40" s="60">
        <v>0.76608748980259023</v>
      </c>
      <c r="K40" s="61">
        <v>235401.62377508648</v>
      </c>
      <c r="L40" s="60">
        <v>1.1714819566704231</v>
      </c>
      <c r="M40" s="61">
        <v>25643.038321756867</v>
      </c>
      <c r="N40" s="60">
        <v>5.5403442033660992</v>
      </c>
      <c r="O40" s="62">
        <v>73.450994662854256</v>
      </c>
      <c r="P40" s="60">
        <v>0.68857936519971474</v>
      </c>
      <c r="Q40" s="62">
        <v>10.893314120151269</v>
      </c>
      <c r="R40" s="63">
        <v>0.58193119427055606</v>
      </c>
    </row>
    <row r="41" spans="1:18" ht="13.5" thickBot="1" x14ac:dyDescent="0.25">
      <c r="A41" s="51"/>
      <c r="B41" s="23" t="str">
        <f>VLOOKUP("&lt;Zeilentitel_2.26&gt;",Uebersetzungen!$B$3:$E$201,Uebersetzungen!$B$2+1,FALSE)</f>
        <v>Jura</v>
      </c>
      <c r="C41" s="74">
        <v>62061.99999999952</v>
      </c>
      <c r="D41" s="75">
        <v>0.55587129579094674</v>
      </c>
      <c r="E41" s="76">
        <v>35510.17014170692</v>
      </c>
      <c r="F41" s="75">
        <v>4.0076189394387072</v>
      </c>
      <c r="G41" s="77">
        <v>57.217250719775706</v>
      </c>
      <c r="H41" s="75">
        <v>2.2549019073645766</v>
      </c>
      <c r="I41" s="76">
        <v>46154.999999999767</v>
      </c>
      <c r="J41" s="75">
        <v>2.8658123736597574</v>
      </c>
      <c r="K41" s="76">
        <v>34865.417716513846</v>
      </c>
      <c r="L41" s="75">
        <v>4.1006784112119012</v>
      </c>
      <c r="M41" s="76">
        <v>2034.7535788829837</v>
      </c>
      <c r="N41" s="75">
        <v>25.912824491488617</v>
      </c>
      <c r="O41" s="77">
        <v>75.539849889533144</v>
      </c>
      <c r="P41" s="75">
        <v>2.3468351505548952</v>
      </c>
      <c r="Q41" s="77">
        <v>5.8360223744551076</v>
      </c>
      <c r="R41" s="78">
        <v>1.4862062189071992</v>
      </c>
    </row>
    <row r="42" spans="1:18" x14ac:dyDescent="0.2">
      <c r="A42" s="16"/>
      <c r="B42" s="10"/>
      <c r="C42" s="9"/>
      <c r="D42" s="11"/>
      <c r="E42" s="12"/>
      <c r="F42" s="13"/>
      <c r="G42" s="14"/>
      <c r="H42" s="13"/>
      <c r="I42" s="14"/>
      <c r="J42" s="13"/>
      <c r="K42" s="14"/>
      <c r="L42" s="14"/>
      <c r="M42" s="13"/>
      <c r="N42" s="14"/>
    </row>
    <row r="43" spans="1:18" x14ac:dyDescent="0.2">
      <c r="A43" s="15" t="str">
        <f>VLOOKUP("&lt;Legende_1&gt;",Uebersetzungen!$B$3:$E$201,Uebersetzungen!$B$2+1,FALSE)</f>
        <v>Definitionen:</v>
      </c>
    </row>
    <row r="44" spans="1:18" x14ac:dyDescent="0.2">
      <c r="A44" s="15" t="str">
        <f>VLOOKUP("&lt;Legende_2&gt;",Uebersetzungen!$B$3:$E$201,Uebersetzungen!$B$2+1,FALSE)</f>
        <v>Erwerbsquote = Erwerbspersonen / Referenzbevölkerung x 100</v>
      </c>
    </row>
    <row r="45" spans="1:18" x14ac:dyDescent="0.2">
      <c r="A45" s="15" t="str">
        <f>VLOOKUP("&lt;Legende_3&gt;",Uebersetzungen!$B$3:$E$201,Uebersetzungen!$B$2+1,FALSE)</f>
        <v>Standardisierte Erwerbsquote (gemessen an der Bevölkerung ab 15 Jahren)</v>
      </c>
    </row>
    <row r="46" spans="1:18" x14ac:dyDescent="0.2">
      <c r="A46" s="15" t="str">
        <f>VLOOKUP("&lt;Legende_4&gt;",Uebersetzungen!$B$3:$E$201,Uebersetzungen!$B$2+1,FALSE)</f>
        <v>Nettoerwerbsquote (gemessen an der Bevölkerung zwischen 15 und 64 Jahren)</v>
      </c>
    </row>
    <row r="47" spans="1:18" x14ac:dyDescent="0.2">
      <c r="A47" s="15" t="str">
        <f>VLOOKUP("&lt;Legende_5&gt;",Uebersetzungen!$B$3:$E$201,Uebersetzungen!$B$2+1,FALSE)</f>
        <v>Erwerbslosenquote = Erwerbslose / Erwerbspersonen x 100</v>
      </c>
    </row>
    <row r="48" spans="1:18" x14ac:dyDescent="0.2">
      <c r="A48" s="15" t="str">
        <f>VLOOKUP("&lt;Legende_6&gt;",Uebersetzungen!$B$3:$E$201,Uebersetzungen!$B$2+1,FALSE)</f>
        <v>(): Extrapolation aufgrund von 49 oder weniger Beobachtungen. Die Resultate sind mit grosser Vorsicht zu interpretieren.</v>
      </c>
    </row>
    <row r="49" spans="1:1" x14ac:dyDescent="0.2">
      <c r="A49" s="15" t="str">
        <f>VLOOKUP("&lt;Legende_7&gt;",Uebersetzungen!$B$3:$E$201,Uebersetzungen!$B$2+1,FALSE)</f>
        <v>X: Extrapolation aufgrund von 4 oder weniger Beobachtungen. Die Resultate werden aus Gründen des Datenschutzes nicht publiziert.</v>
      </c>
    </row>
    <row r="50" spans="1:1" x14ac:dyDescent="0.2">
      <c r="A50" s="15" t="str">
        <f>VLOOKUP("&lt;Legende_8&gt;",Uebersetzungen!$B$3:$E$201,Uebersetzungen!$B$2+1,FALSE)</f>
        <v>Die Grundgesamtheit der Strukturerhebung enthält alle Personen der ständigen Wohnbevölkerung ab vollendetem 15. Altersjahr, die in Privathaushalten leben.</v>
      </c>
    </row>
    <row r="51" spans="1:1" x14ac:dyDescent="0.2">
      <c r="A51" s="15" t="str">
        <f>VLOOKUP("&lt;Legende_9&gt;",Uebersetzungen!$B$3:$E$201,Uebersetzungen!$B$2+1,FALSE)</f>
        <v>Aus der Grundgesamtheit ausgeschlossen wurden neben den Personen, die in Kollektivhaushalten leben, auch Diplomaten, internationale Funktionäre und deren Angehörige.</v>
      </c>
    </row>
    <row r="53" spans="1:1" x14ac:dyDescent="0.2">
      <c r="A53" s="1" t="str">
        <f>VLOOKUP("&lt;quelle_1&gt;",Uebersetzungen!$B$3:$E$201,Uebersetzungen!$B$2+1,FALSE)</f>
        <v>Quelle: BFS (Strukturerhebung)</v>
      </c>
    </row>
    <row r="54" spans="1:1" x14ac:dyDescent="0.2">
      <c r="A54" s="1" t="str">
        <f>VLOOKUP("&lt;aktualisierung&gt;",Uebersetzungen!$B$3:$E$201,Uebersetzungen!$B$2+1,FALSE)</f>
        <v>Letztmals aktualisiert am: 27.01.2024</v>
      </c>
    </row>
  </sheetData>
  <sheetProtection sheet="1" objects="1" scenarios="1"/>
  <mergeCells count="12">
    <mergeCell ref="C12:R12"/>
    <mergeCell ref="A16:A41"/>
    <mergeCell ref="A15:B15"/>
    <mergeCell ref="Q13:R13"/>
    <mergeCell ref="A7:B7"/>
    <mergeCell ref="K13:L13"/>
    <mergeCell ref="M13:N13"/>
    <mergeCell ref="O13:P13"/>
    <mergeCell ref="C13:D13"/>
    <mergeCell ref="E13:F13"/>
    <mergeCell ref="G13:H13"/>
    <mergeCell ref="I13:J13"/>
  </mergeCells>
  <pageMargins left="0.7" right="0.7" top="0.78740157499999996" bottom="0.78740157499999996" header="0.3" footer="0.3"/>
  <pageSetup paperSize="9" orientation="portrait" r:id="rId1"/>
  <ignoredErrors>
    <ignoredError sqref="D14:F14 H14:I14 J14:K14 L14:N14 P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428625</xdr:colOff>
                    <xdr:row>1</xdr:row>
                    <xdr:rowOff>123825</xdr:rowOff>
                  </from>
                  <to>
                    <xdr:col>4</xdr:col>
                    <xdr:colOff>752475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428625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428625</xdr:colOff>
                    <xdr:row>3</xdr:row>
                    <xdr:rowOff>76200</xdr:rowOff>
                  </from>
                  <to>
                    <xdr:col>4</xdr:col>
                    <xdr:colOff>752475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D57" sqref="D57"/>
    </sheetView>
  </sheetViews>
  <sheetFormatPr baseColWidth="10" defaultColWidth="12.5703125" defaultRowHeight="12.75" x14ac:dyDescent="0.2"/>
  <cols>
    <col min="1" max="1" width="9.85546875" style="28" customWidth="1"/>
    <col min="2" max="2" width="30" style="28" customWidth="1"/>
    <col min="3" max="3" width="78.5703125" style="32" customWidth="1"/>
    <col min="4" max="5" width="53.42578125" style="32" customWidth="1"/>
    <col min="6" max="6" width="22.42578125" style="28" customWidth="1"/>
    <col min="7" max="8" width="12.5703125" style="28"/>
    <col min="9" max="9" width="37.7109375" style="28" customWidth="1"/>
    <col min="10" max="16384" width="12.5703125" style="28"/>
  </cols>
  <sheetData>
    <row r="1" spans="1:6" x14ac:dyDescent="0.2">
      <c r="A1" s="25" t="s">
        <v>0</v>
      </c>
      <c r="B1" s="25" t="s">
        <v>1</v>
      </c>
      <c r="C1" s="26" t="s">
        <v>2</v>
      </c>
      <c r="D1" s="26" t="s">
        <v>3</v>
      </c>
      <c r="E1" s="26" t="s">
        <v>4</v>
      </c>
      <c r="F1" s="27"/>
    </row>
    <row r="2" spans="1:6" ht="12.75" customHeight="1" x14ac:dyDescent="0.2">
      <c r="A2" s="29" t="s">
        <v>5</v>
      </c>
      <c r="B2" s="30">
        <v>1</v>
      </c>
      <c r="C2" s="31"/>
      <c r="D2" s="31"/>
      <c r="E2" s="31"/>
      <c r="F2" s="27"/>
    </row>
    <row r="3" spans="1:6" ht="12.75" customHeight="1" x14ac:dyDescent="0.2">
      <c r="A3" s="29"/>
      <c r="B3" s="28" t="s">
        <v>6</v>
      </c>
      <c r="C3" s="32" t="s">
        <v>7</v>
      </c>
      <c r="D3" s="32" t="s">
        <v>8</v>
      </c>
      <c r="E3" s="32" t="s">
        <v>9</v>
      </c>
      <c r="F3" s="27"/>
    </row>
    <row r="4" spans="1:6" ht="12.75" customHeight="1" x14ac:dyDescent="0.2">
      <c r="A4" s="29" t="s">
        <v>10</v>
      </c>
      <c r="B4" s="28" t="s">
        <v>11</v>
      </c>
      <c r="C4" s="32" t="s">
        <v>186</v>
      </c>
      <c r="D4" s="32" t="s">
        <v>187</v>
      </c>
      <c r="E4" s="32" t="s">
        <v>188</v>
      </c>
      <c r="F4" s="27"/>
    </row>
    <row r="5" spans="1:6" ht="12.75" customHeight="1" x14ac:dyDescent="0.2">
      <c r="A5" s="29"/>
      <c r="B5" s="28" t="s">
        <v>12</v>
      </c>
      <c r="C5" s="32" t="s">
        <v>13</v>
      </c>
      <c r="D5" s="32" t="s">
        <v>14</v>
      </c>
      <c r="E5" s="32" t="s">
        <v>15</v>
      </c>
      <c r="F5" s="27"/>
    </row>
    <row r="6" spans="1:6" ht="12.75" customHeight="1" x14ac:dyDescent="0.2">
      <c r="A6" s="29" t="s">
        <v>16</v>
      </c>
      <c r="B6" s="28" t="s">
        <v>17</v>
      </c>
      <c r="C6" s="32" t="s">
        <v>18</v>
      </c>
      <c r="D6" s="32" t="s">
        <v>19</v>
      </c>
      <c r="E6" s="32" t="s">
        <v>189</v>
      </c>
      <c r="F6" s="27"/>
    </row>
    <row r="7" spans="1:6" ht="12.75" customHeight="1" x14ac:dyDescent="0.2">
      <c r="A7" s="29"/>
      <c r="B7" s="28" t="s">
        <v>21</v>
      </c>
      <c r="C7" s="32" t="s">
        <v>22</v>
      </c>
      <c r="D7" s="32" t="s">
        <v>23</v>
      </c>
      <c r="E7" s="32" t="s">
        <v>190</v>
      </c>
      <c r="F7" s="27"/>
    </row>
    <row r="8" spans="1:6" ht="12.75" customHeight="1" x14ac:dyDescent="0.2">
      <c r="A8" s="29"/>
      <c r="B8" s="28" t="s">
        <v>24</v>
      </c>
      <c r="C8" s="32" t="s">
        <v>25</v>
      </c>
      <c r="D8" s="32" t="s">
        <v>26</v>
      </c>
      <c r="E8" s="32" t="s">
        <v>191</v>
      </c>
      <c r="F8" s="27"/>
    </row>
    <row r="9" spans="1:6" ht="12.75" customHeight="1" x14ac:dyDescent="0.2">
      <c r="A9" s="29"/>
      <c r="B9" s="28" t="s">
        <v>27</v>
      </c>
      <c r="C9" s="32" t="s">
        <v>28</v>
      </c>
      <c r="D9" s="32" t="s">
        <v>29</v>
      </c>
      <c r="E9" s="32" t="s">
        <v>192</v>
      </c>
      <c r="F9" s="27"/>
    </row>
    <row r="10" spans="1:6" ht="12.75" customHeight="1" x14ac:dyDescent="0.2">
      <c r="A10" s="29"/>
      <c r="B10" s="28" t="s">
        <v>30</v>
      </c>
      <c r="C10" s="32" t="s">
        <v>31</v>
      </c>
      <c r="D10" s="32" t="s">
        <v>32</v>
      </c>
      <c r="E10" s="32" t="s">
        <v>193</v>
      </c>
      <c r="F10" s="27"/>
    </row>
    <row r="11" spans="1:6" ht="12.75" customHeight="1" x14ac:dyDescent="0.2">
      <c r="A11" s="29"/>
      <c r="B11" s="28" t="s">
        <v>33</v>
      </c>
      <c r="C11" s="32" t="s">
        <v>34</v>
      </c>
      <c r="D11" s="32" t="s">
        <v>35</v>
      </c>
      <c r="E11" s="32" t="s">
        <v>194</v>
      </c>
      <c r="F11" s="27"/>
    </row>
    <row r="12" spans="1:6" ht="12.75" customHeight="1" x14ac:dyDescent="0.2">
      <c r="A12" s="29"/>
      <c r="B12" s="28" t="s">
        <v>36</v>
      </c>
      <c r="C12" s="32" t="s">
        <v>37</v>
      </c>
      <c r="D12" s="32" t="s">
        <v>38</v>
      </c>
      <c r="E12" s="32" t="s">
        <v>195</v>
      </c>
      <c r="F12" s="27"/>
    </row>
    <row r="13" spans="1:6" ht="12.75" customHeight="1" x14ac:dyDescent="0.2">
      <c r="A13" s="29"/>
      <c r="B13" s="28" t="s">
        <v>39</v>
      </c>
      <c r="C13" s="32" t="s">
        <v>40</v>
      </c>
      <c r="D13" s="32" t="s">
        <v>41</v>
      </c>
      <c r="E13" s="32" t="s">
        <v>196</v>
      </c>
      <c r="F13" s="27"/>
    </row>
    <row r="14" spans="1:6" ht="12.75" customHeight="1" x14ac:dyDescent="0.2">
      <c r="A14" s="29"/>
      <c r="B14" s="27"/>
      <c r="C14" s="33"/>
      <c r="D14" s="33"/>
      <c r="E14" s="33"/>
      <c r="F14" s="27"/>
    </row>
    <row r="15" spans="1:6" ht="12.75" customHeight="1" x14ac:dyDescent="0.2">
      <c r="A15" s="29"/>
      <c r="B15" s="28" t="s">
        <v>42</v>
      </c>
      <c r="C15" s="32" t="s">
        <v>43</v>
      </c>
      <c r="D15" s="32" t="s">
        <v>44</v>
      </c>
      <c r="E15" s="32" t="s">
        <v>45</v>
      </c>
      <c r="F15" s="27"/>
    </row>
    <row r="16" spans="1:6" ht="12.75" customHeight="1" x14ac:dyDescent="0.2">
      <c r="A16" s="29"/>
      <c r="B16" s="28" t="s">
        <v>46</v>
      </c>
      <c r="C16" s="32" t="s">
        <v>47</v>
      </c>
      <c r="D16" s="32" t="s">
        <v>48</v>
      </c>
      <c r="E16" s="32" t="s">
        <v>49</v>
      </c>
      <c r="F16" s="27"/>
    </row>
    <row r="17" spans="1:6" ht="12.75" customHeight="1" x14ac:dyDescent="0.2">
      <c r="A17" s="29"/>
      <c r="B17" s="28" t="s">
        <v>50</v>
      </c>
      <c r="C17" s="32" t="s">
        <v>51</v>
      </c>
      <c r="D17" s="32" t="s">
        <v>52</v>
      </c>
      <c r="E17" s="32" t="s">
        <v>51</v>
      </c>
      <c r="F17" s="27"/>
    </row>
    <row r="18" spans="1:6" ht="12.75" customHeight="1" x14ac:dyDescent="0.2">
      <c r="A18" s="29"/>
      <c r="B18" s="27"/>
      <c r="C18" s="33"/>
      <c r="D18" s="33"/>
      <c r="E18" s="33"/>
      <c r="F18" s="27"/>
    </row>
    <row r="19" spans="1:6" ht="12.75" customHeight="1" x14ac:dyDescent="0.2">
      <c r="A19" s="29" t="s">
        <v>10</v>
      </c>
      <c r="B19" s="28" t="s">
        <v>53</v>
      </c>
      <c r="C19" s="32" t="s">
        <v>54</v>
      </c>
      <c r="D19" s="32" t="s">
        <v>54</v>
      </c>
      <c r="E19" s="32" t="s">
        <v>20</v>
      </c>
      <c r="F19" s="27"/>
    </row>
    <row r="20" spans="1:6" ht="12.75" customHeight="1" x14ac:dyDescent="0.2">
      <c r="A20" s="27"/>
      <c r="B20" s="28" t="s">
        <v>55</v>
      </c>
      <c r="C20" s="32" t="s">
        <v>56</v>
      </c>
      <c r="D20" s="32" t="s">
        <v>57</v>
      </c>
      <c r="E20" s="32" t="s">
        <v>58</v>
      </c>
      <c r="F20" s="27"/>
    </row>
    <row r="21" spans="1:6" ht="12.75" customHeight="1" x14ac:dyDescent="0.2">
      <c r="A21" s="29"/>
      <c r="B21" s="27"/>
      <c r="C21" s="33"/>
      <c r="D21" s="33"/>
      <c r="E21" s="33"/>
      <c r="F21" s="27"/>
    </row>
    <row r="22" spans="1:6" ht="12.75" customHeight="1" x14ac:dyDescent="0.2">
      <c r="A22" s="27"/>
      <c r="B22" s="28" t="s">
        <v>59</v>
      </c>
      <c r="C22" s="34" t="s">
        <v>60</v>
      </c>
      <c r="D22" s="24" t="s">
        <v>61</v>
      </c>
      <c r="E22" s="24" t="s">
        <v>62</v>
      </c>
      <c r="F22" s="27"/>
    </row>
    <row r="23" spans="1:6" ht="12.75" customHeight="1" x14ac:dyDescent="0.2">
      <c r="A23" s="27"/>
      <c r="B23" s="28" t="s">
        <v>63</v>
      </c>
      <c r="C23" s="34" t="s">
        <v>64</v>
      </c>
      <c r="D23" s="24" t="s">
        <v>65</v>
      </c>
      <c r="E23" s="24" t="s">
        <v>65</v>
      </c>
      <c r="F23" s="27"/>
    </row>
    <row r="24" spans="1:6" x14ac:dyDescent="0.2">
      <c r="A24" s="27"/>
      <c r="B24" s="28" t="s">
        <v>66</v>
      </c>
      <c r="C24" s="34" t="s">
        <v>67</v>
      </c>
      <c r="D24" s="24" t="s">
        <v>68</v>
      </c>
      <c r="E24" s="24" t="s">
        <v>68</v>
      </c>
      <c r="F24" s="27"/>
    </row>
    <row r="25" spans="1:6" x14ac:dyDescent="0.2">
      <c r="A25" s="27"/>
      <c r="B25" s="28" t="s">
        <v>69</v>
      </c>
      <c r="C25" s="34" t="s">
        <v>70</v>
      </c>
      <c r="D25" s="24" t="s">
        <v>70</v>
      </c>
      <c r="E25" s="24" t="s">
        <v>70</v>
      </c>
      <c r="F25" s="27"/>
    </row>
    <row r="26" spans="1:6" x14ac:dyDescent="0.2">
      <c r="A26" s="27"/>
      <c r="B26" s="28" t="s">
        <v>71</v>
      </c>
      <c r="C26" s="34" t="s">
        <v>72</v>
      </c>
      <c r="D26" s="24" t="s">
        <v>73</v>
      </c>
      <c r="E26" s="24" t="s">
        <v>74</v>
      </c>
      <c r="F26" s="27"/>
    </row>
    <row r="27" spans="1:6" x14ac:dyDescent="0.2">
      <c r="A27" s="27"/>
      <c r="B27" s="28" t="s">
        <v>75</v>
      </c>
      <c r="C27" s="34" t="s">
        <v>76</v>
      </c>
      <c r="D27" s="24" t="s">
        <v>77</v>
      </c>
      <c r="E27" s="24" t="s">
        <v>78</v>
      </c>
      <c r="F27" s="27"/>
    </row>
    <row r="28" spans="1:6" x14ac:dyDescent="0.2">
      <c r="A28" s="27"/>
      <c r="B28" s="28" t="s">
        <v>79</v>
      </c>
      <c r="C28" s="34" t="s">
        <v>80</v>
      </c>
      <c r="D28" s="24" t="s">
        <v>81</v>
      </c>
      <c r="E28" s="24" t="s">
        <v>82</v>
      </c>
      <c r="F28" s="27"/>
    </row>
    <row r="29" spans="1:6" x14ac:dyDescent="0.2">
      <c r="A29" s="27"/>
      <c r="B29" s="28" t="s">
        <v>83</v>
      </c>
      <c r="C29" s="34" t="s">
        <v>84</v>
      </c>
      <c r="D29" s="24" t="s">
        <v>85</v>
      </c>
      <c r="E29" s="24" t="s">
        <v>86</v>
      </c>
      <c r="F29" s="27"/>
    </row>
    <row r="30" spans="1:6" x14ac:dyDescent="0.2">
      <c r="A30" s="27"/>
      <c r="B30" s="28" t="s">
        <v>87</v>
      </c>
      <c r="C30" s="34" t="s">
        <v>88</v>
      </c>
      <c r="D30" s="24" t="s">
        <v>88</v>
      </c>
      <c r="E30" s="24" t="s">
        <v>89</v>
      </c>
      <c r="F30" s="27"/>
    </row>
    <row r="31" spans="1:6" x14ac:dyDescent="0.2">
      <c r="A31" s="27"/>
      <c r="B31" s="28" t="s">
        <v>90</v>
      </c>
      <c r="C31" s="34" t="s">
        <v>91</v>
      </c>
      <c r="D31" s="24" t="s">
        <v>92</v>
      </c>
      <c r="E31" s="24" t="s">
        <v>93</v>
      </c>
      <c r="F31" s="27"/>
    </row>
    <row r="32" spans="1:6" x14ac:dyDescent="0.2">
      <c r="A32" s="27"/>
      <c r="B32" s="28" t="s">
        <v>94</v>
      </c>
      <c r="C32" s="34" t="s">
        <v>95</v>
      </c>
      <c r="D32" s="24" t="s">
        <v>96</v>
      </c>
      <c r="E32" s="24" t="s">
        <v>97</v>
      </c>
      <c r="F32" s="27"/>
    </row>
    <row r="33" spans="1:6" x14ac:dyDescent="0.2">
      <c r="A33" s="27"/>
      <c r="B33" s="28" t="s">
        <v>98</v>
      </c>
      <c r="C33" s="34" t="s">
        <v>99</v>
      </c>
      <c r="D33" s="24" t="s">
        <v>100</v>
      </c>
      <c r="E33" s="24" t="s">
        <v>101</v>
      </c>
      <c r="F33" s="27"/>
    </row>
    <row r="34" spans="1:6" x14ac:dyDescent="0.2">
      <c r="A34" s="27"/>
      <c r="B34" s="28" t="s">
        <v>102</v>
      </c>
      <c r="C34" s="34" t="s">
        <v>103</v>
      </c>
      <c r="D34" s="24" t="s">
        <v>104</v>
      </c>
      <c r="E34" s="24" t="s">
        <v>105</v>
      </c>
      <c r="F34" s="27"/>
    </row>
    <row r="35" spans="1:6" x14ac:dyDescent="0.2">
      <c r="A35" s="27"/>
      <c r="B35" s="28" t="s">
        <v>106</v>
      </c>
      <c r="C35" s="34" t="s">
        <v>107</v>
      </c>
      <c r="D35" s="24" t="s">
        <v>108</v>
      </c>
      <c r="E35" s="24" t="s">
        <v>109</v>
      </c>
      <c r="F35" s="27"/>
    </row>
    <row r="36" spans="1:6" x14ac:dyDescent="0.2">
      <c r="A36" s="27"/>
      <c r="B36" s="28" t="s">
        <v>110</v>
      </c>
      <c r="C36" s="34" t="s">
        <v>111</v>
      </c>
      <c r="D36" s="24" t="s">
        <v>112</v>
      </c>
      <c r="E36" s="24" t="s">
        <v>113</v>
      </c>
      <c r="F36" s="27"/>
    </row>
    <row r="37" spans="1:6" x14ac:dyDescent="0.2">
      <c r="A37" s="27"/>
      <c r="B37" s="28" t="s">
        <v>114</v>
      </c>
      <c r="C37" s="34" t="s">
        <v>115</v>
      </c>
      <c r="D37" s="24" t="s">
        <v>116</v>
      </c>
      <c r="E37" s="24" t="s">
        <v>117</v>
      </c>
      <c r="F37" s="27"/>
    </row>
    <row r="38" spans="1:6" x14ac:dyDescent="0.2">
      <c r="A38" s="27"/>
      <c r="B38" s="28" t="s">
        <v>118</v>
      </c>
      <c r="C38" s="34" t="s">
        <v>119</v>
      </c>
      <c r="D38" s="24" t="s">
        <v>120</v>
      </c>
      <c r="E38" s="24" t="s">
        <v>121</v>
      </c>
      <c r="F38" s="27"/>
    </row>
    <row r="39" spans="1:6" x14ac:dyDescent="0.2">
      <c r="A39" s="27"/>
      <c r="B39" s="28" t="s">
        <v>122</v>
      </c>
      <c r="C39" s="34" t="s">
        <v>123</v>
      </c>
      <c r="D39" s="24" t="s">
        <v>124</v>
      </c>
      <c r="E39" s="24" t="s">
        <v>125</v>
      </c>
      <c r="F39" s="27"/>
    </row>
    <row r="40" spans="1:6" x14ac:dyDescent="0.2">
      <c r="A40" s="27"/>
      <c r="B40" s="28" t="s">
        <v>126</v>
      </c>
      <c r="C40" s="34" t="s">
        <v>127</v>
      </c>
      <c r="D40" s="24" t="s">
        <v>128</v>
      </c>
      <c r="E40" s="24" t="s">
        <v>128</v>
      </c>
      <c r="F40" s="27"/>
    </row>
    <row r="41" spans="1:6" x14ac:dyDescent="0.2">
      <c r="A41" s="27"/>
      <c r="B41" s="28" t="s">
        <v>129</v>
      </c>
      <c r="C41" s="34" t="s">
        <v>130</v>
      </c>
      <c r="D41" s="24" t="s">
        <v>131</v>
      </c>
      <c r="E41" s="24" t="s">
        <v>131</v>
      </c>
      <c r="F41" s="27"/>
    </row>
    <row r="42" spans="1:6" x14ac:dyDescent="0.2">
      <c r="A42" s="27"/>
      <c r="B42" s="28" t="s">
        <v>132</v>
      </c>
      <c r="C42" s="34" t="s">
        <v>133</v>
      </c>
      <c r="D42" s="24" t="s">
        <v>134</v>
      </c>
      <c r="E42" s="24" t="s">
        <v>133</v>
      </c>
      <c r="F42" s="27"/>
    </row>
    <row r="43" spans="1:6" x14ac:dyDescent="0.2">
      <c r="A43" s="27"/>
      <c r="B43" s="28" t="s">
        <v>135</v>
      </c>
      <c r="C43" s="34" t="s">
        <v>136</v>
      </c>
      <c r="D43" s="24" t="s">
        <v>137</v>
      </c>
      <c r="E43" s="24" t="s">
        <v>136</v>
      </c>
      <c r="F43" s="27"/>
    </row>
    <row r="44" spans="1:6" x14ac:dyDescent="0.2">
      <c r="A44" s="27"/>
      <c r="B44" s="28" t="s">
        <v>138</v>
      </c>
      <c r="C44" s="34" t="s">
        <v>139</v>
      </c>
      <c r="D44" s="24" t="s">
        <v>140</v>
      </c>
      <c r="E44" s="24" t="s">
        <v>141</v>
      </c>
      <c r="F44" s="27"/>
    </row>
    <row r="45" spans="1:6" x14ac:dyDescent="0.2">
      <c r="A45" s="27"/>
      <c r="B45" s="28" t="s">
        <v>142</v>
      </c>
      <c r="C45" s="34" t="s">
        <v>143</v>
      </c>
      <c r="D45" s="24" t="s">
        <v>143</v>
      </c>
      <c r="E45" s="24" t="s">
        <v>143</v>
      </c>
      <c r="F45" s="27"/>
    </row>
    <row r="46" spans="1:6" x14ac:dyDescent="0.2">
      <c r="A46" s="27"/>
      <c r="B46" s="28" t="s">
        <v>144</v>
      </c>
      <c r="C46" s="34" t="s">
        <v>145</v>
      </c>
      <c r="D46" s="24" t="s">
        <v>146</v>
      </c>
      <c r="E46" s="24" t="s">
        <v>147</v>
      </c>
      <c r="F46" s="27"/>
    </row>
    <row r="47" spans="1:6" x14ac:dyDescent="0.2">
      <c r="A47" s="27"/>
      <c r="B47" s="28" t="s">
        <v>148</v>
      </c>
      <c r="C47" s="34" t="s">
        <v>149</v>
      </c>
      <c r="D47" s="24" t="s">
        <v>150</v>
      </c>
      <c r="E47" s="24" t="s">
        <v>150</v>
      </c>
      <c r="F47" s="27"/>
    </row>
    <row r="48" spans="1:6" x14ac:dyDescent="0.2">
      <c r="A48" s="27"/>
      <c r="B48" s="27"/>
      <c r="C48" s="33"/>
      <c r="D48" s="33"/>
      <c r="E48" s="33"/>
      <c r="F48" s="27"/>
    </row>
    <row r="49" spans="1:6" x14ac:dyDescent="0.2">
      <c r="A49" s="29"/>
      <c r="B49" s="28" t="s">
        <v>151</v>
      </c>
      <c r="C49" s="35" t="s">
        <v>152</v>
      </c>
      <c r="D49" s="32" t="s">
        <v>153</v>
      </c>
      <c r="E49" s="39" t="s">
        <v>197</v>
      </c>
      <c r="F49" s="33"/>
    </row>
    <row r="50" spans="1:6" ht="25.5" x14ac:dyDescent="0.2">
      <c r="A50" s="27"/>
      <c r="B50" s="28" t="s">
        <v>154</v>
      </c>
      <c r="C50" s="36" t="s">
        <v>155</v>
      </c>
      <c r="D50" s="32" t="s">
        <v>156</v>
      </c>
      <c r="E50" s="39" t="s">
        <v>198</v>
      </c>
      <c r="F50" s="33"/>
    </row>
    <row r="51" spans="1:6" ht="25.5" x14ac:dyDescent="0.2">
      <c r="A51" s="27"/>
      <c r="B51" s="28" t="s">
        <v>157</v>
      </c>
      <c r="C51" s="36" t="s">
        <v>158</v>
      </c>
      <c r="D51" s="32" t="s">
        <v>159</v>
      </c>
      <c r="E51" s="39" t="s">
        <v>199</v>
      </c>
      <c r="F51" s="33"/>
    </row>
    <row r="52" spans="1:6" ht="25.5" x14ac:dyDescent="0.2">
      <c r="A52" s="27"/>
      <c r="B52" s="28" t="s">
        <v>160</v>
      </c>
      <c r="C52" s="36" t="s">
        <v>161</v>
      </c>
      <c r="D52" s="28" t="s">
        <v>162</v>
      </c>
      <c r="E52" s="39" t="s">
        <v>200</v>
      </c>
      <c r="F52" s="33"/>
    </row>
    <row r="53" spans="1:6" ht="25.5" x14ac:dyDescent="0.2">
      <c r="A53" s="27"/>
      <c r="B53" s="28" t="s">
        <v>163</v>
      </c>
      <c r="C53" s="36" t="s">
        <v>164</v>
      </c>
      <c r="D53" s="32" t="s">
        <v>202</v>
      </c>
      <c r="E53" s="32" t="s">
        <v>201</v>
      </c>
      <c r="F53" s="33"/>
    </row>
    <row r="54" spans="1:6" ht="25.5" x14ac:dyDescent="0.2">
      <c r="A54" s="27"/>
      <c r="B54" s="28" t="s">
        <v>165</v>
      </c>
      <c r="C54" s="32" t="s">
        <v>166</v>
      </c>
      <c r="D54" s="32" t="s">
        <v>167</v>
      </c>
      <c r="E54" s="32" t="s">
        <v>168</v>
      </c>
      <c r="F54" s="33"/>
    </row>
    <row r="55" spans="1:6" ht="38.25" x14ac:dyDescent="0.2">
      <c r="A55" s="27"/>
      <c r="B55" s="28" t="s">
        <v>169</v>
      </c>
      <c r="C55" s="32" t="s">
        <v>170</v>
      </c>
      <c r="D55" s="32" t="s">
        <v>171</v>
      </c>
      <c r="E55" s="32" t="s">
        <v>172</v>
      </c>
      <c r="F55" s="33"/>
    </row>
    <row r="56" spans="1:6" ht="51" x14ac:dyDescent="0.2">
      <c r="A56" s="27"/>
      <c r="B56" s="28" t="s">
        <v>173</v>
      </c>
      <c r="C56" s="32" t="s">
        <v>174</v>
      </c>
      <c r="D56" s="32" t="s">
        <v>175</v>
      </c>
      <c r="E56" s="32" t="s">
        <v>176</v>
      </c>
      <c r="F56" s="33"/>
    </row>
    <row r="57" spans="1:6" ht="38.25" x14ac:dyDescent="0.2">
      <c r="A57" s="27"/>
      <c r="B57" s="28" t="s">
        <v>177</v>
      </c>
      <c r="C57" s="32" t="s">
        <v>178</v>
      </c>
      <c r="D57" s="32" t="s">
        <v>179</v>
      </c>
      <c r="E57" s="32" t="s">
        <v>180</v>
      </c>
      <c r="F57" s="33"/>
    </row>
    <row r="58" spans="1:6" x14ac:dyDescent="0.2">
      <c r="A58" s="27"/>
      <c r="B58" s="27"/>
      <c r="C58" s="33"/>
      <c r="D58" s="33"/>
      <c r="E58" s="33"/>
      <c r="F58" s="27"/>
    </row>
    <row r="59" spans="1:6" x14ac:dyDescent="0.2">
      <c r="A59" s="27" t="s">
        <v>16</v>
      </c>
      <c r="B59" s="28" t="s">
        <v>181</v>
      </c>
      <c r="C59" s="32" t="s">
        <v>182</v>
      </c>
      <c r="D59" s="32" t="s">
        <v>183</v>
      </c>
      <c r="E59" s="32" t="s">
        <v>184</v>
      </c>
      <c r="F59" s="27"/>
    </row>
    <row r="60" spans="1:6" x14ac:dyDescent="0.2">
      <c r="A60" s="27" t="s">
        <v>10</v>
      </c>
      <c r="B60" s="37" t="s">
        <v>185</v>
      </c>
      <c r="C60" s="38" t="s">
        <v>203</v>
      </c>
      <c r="D60" s="38" t="s">
        <v>204</v>
      </c>
      <c r="E60" s="38" t="s">
        <v>205</v>
      </c>
      <c r="F60" s="27"/>
    </row>
    <row r="61" spans="1:6" x14ac:dyDescent="0.2">
      <c r="A61" s="27"/>
      <c r="B61" s="27"/>
      <c r="C61" s="33"/>
      <c r="D61" s="33"/>
      <c r="E61" s="33"/>
      <c r="F61" s="27"/>
    </row>
    <row r="62" spans="1:6" x14ac:dyDescent="0.2">
      <c r="A62" s="29"/>
      <c r="B62" s="30"/>
      <c r="C62" s="31"/>
      <c r="D62" s="31"/>
      <c r="E62" s="31"/>
      <c r="F62" s="2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Erwerbstätigkeit</Kategorie>
    <Benutzerdefinierte_x0020_ID xmlns="e8a48d95-b6dc-46ea-8dee-11ddfc24d8d8">1003</Benutzerdefinierte_x0020_ID>
    <Titel_IT xmlns="e8a48d95-b6dc-46ea-8dee-11ddfc24d8d8">Tasso di occupazione e disoccupazione nei Grigioni e in Svizzera, 2023</Titel_IT>
    <Titel_RM xmlns="e8a48d95-b6dc-46ea-8dee-11ddfc24d8d8">Quota da las persunas cun e senza activitad da gudogn en il Grischun ed en Svizra, 2023</Titel_RM>
    <Titel_DE xmlns="e8a48d95-b6dc-46ea-8dee-11ddfc24d8d8">Erwerbs- und Erwerbslosenquote Graubünden und Schweiz, 2023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4223A9-5B18-4D64-B774-09410872C77E}"/>
</file>

<file path=customXml/itemProps2.xml><?xml version="1.0" encoding="utf-8"?>
<ds:datastoreItem xmlns:ds="http://schemas.openxmlformats.org/officeDocument/2006/customXml" ds:itemID="{8BCE8DDD-0824-4F7B-963D-FEB22EAA4800}"/>
</file>

<file path=customXml/itemProps3.xml><?xml version="1.0" encoding="utf-8"?>
<ds:datastoreItem xmlns:ds="http://schemas.openxmlformats.org/officeDocument/2006/customXml" ds:itemID="{A9C24DF4-811A-4FF7-BE9C-5C75B86C69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Schweiz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Erwerbs- und Erwerbslosenquote Graubünden und Schweiz</dc:title>
  <dc:subject/>
  <dc:creator>Luzius.Stricker@awt.gr.ch</dc:creator>
  <cp:keywords/>
  <dc:description/>
  <cp:lastModifiedBy>Stricker Luzius</cp:lastModifiedBy>
  <cp:revision/>
  <dcterms:created xsi:type="dcterms:W3CDTF">2017-05-04T09:10:20Z</dcterms:created>
  <dcterms:modified xsi:type="dcterms:W3CDTF">2025-01-27T09:02:58Z</dcterms:modified>
  <cp:category>Strukturerhebung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0x01010028D26AD4D433F842B31B8F2E11C3D7DD</vt:lpwstr>
  </property>
</Properties>
</file>